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75" windowWidth="14910" windowHeight="7485"/>
  </bookViews>
  <sheets>
    <sheet name="Pressure Reduction" sheetId="1" r:id="rId1"/>
    <sheet name="500XL" sheetId="4" r:id="rId2"/>
    <sheet name="NR3XL" sheetId="2" r:id="rId3"/>
    <sheet name="600XL" sheetId="7" r:id="rId4"/>
    <sheet name="5" sheetId="5" state="hidden" r:id="rId5"/>
  </sheets>
  <definedNames>
    <definedName name="_xlnm._FilterDatabase" localSheetId="1" hidden="1">'500XL'!$N$10:$N$32</definedName>
    <definedName name="Apple">'500XL'!$U$75</definedName>
    <definedName name="ERROR">'5'!$A$11</definedName>
    <definedName name="F0" localSheetId="3">'500XL'!#REF!</definedName>
    <definedName name="F0">'500XL'!#REF!</definedName>
    <definedName name="fgf" localSheetId="3">'500XL'!#REF!</definedName>
    <definedName name="fgf">'500XL'!#REF!</definedName>
    <definedName name="Figrue5" localSheetId="3">'500XL'!#REF!</definedName>
    <definedName name="Figrue5">'500XL'!#REF!</definedName>
    <definedName name="Figrue8" localSheetId="3">'500XL'!#REF!</definedName>
    <definedName name="Figrue8">'500XL'!#REF!</definedName>
    <definedName name="Figure0">'5'!$A$1</definedName>
    <definedName name="Figure1">'5'!$A$2</definedName>
    <definedName name="Figure2">'5'!$A$3</definedName>
    <definedName name="Figure3">'5'!$A$4</definedName>
    <definedName name="Figure4">'5'!$A$5</definedName>
    <definedName name="Figure5">'5'!$A$6</definedName>
    <definedName name="Figure6">'5'!$A$7</definedName>
    <definedName name="Figure7">'5'!$A$8</definedName>
    <definedName name="Figure8">'5'!$A$9</definedName>
    <definedName name="Figure9">'5'!$A$10</definedName>
    <definedName name="Figures">'500XL'!$AB$30:$AB$38</definedName>
    <definedName name="NRFIGURE0" localSheetId="3">'600XL'!$R$48</definedName>
    <definedName name="NRFIGURE0">NR3XL!$R$48</definedName>
    <definedName name="NRFIGURE1" localSheetId="3">'600XL'!$R$49</definedName>
    <definedName name="NRFIGURE1">NR3XL!$R$49</definedName>
    <definedName name="NRFIGURE2" localSheetId="3">'600XL'!$R$50</definedName>
    <definedName name="NRFIGURE2">NR3XL!$R$50</definedName>
    <definedName name="NRFIGURE3" localSheetId="3">'600XL'!$R$51</definedName>
    <definedName name="NRFIGURE3">NR3XL!$R$51</definedName>
    <definedName name="NRFIGURE4" localSheetId="3">'600XL'!$R$51</definedName>
    <definedName name="NRFIGURE4">NR3XL!$R$51</definedName>
    <definedName name="Orange">'500XL'!$U$52</definedName>
    <definedName name="Pear" localSheetId="3">'500XL'!#REF!</definedName>
    <definedName name="Pear">'500XL'!#REF!</definedName>
    <definedName name="Picture">'500XL'!$Z$50</definedName>
    <definedName name="Picture_NR" localSheetId="3">INDIRECT('600XL'!$U$41)</definedName>
    <definedName name="Picture_NR">INDIRECT(NR3XL!$U$41)</definedName>
    <definedName name="Picture_w">INDIRECT('500XL'!$Z$50)</definedName>
    <definedName name="Picture600">INDIRECT('600XL'!$U$41)</definedName>
    <definedName name="pipe_size">'Pressure Reduction'!$R$6:$R$13</definedName>
    <definedName name="Pipe_Size_2">'Pressure Reduction'!$R$6:$R$14</definedName>
    <definedName name="_xlnm.Print_Area" localSheetId="1">'500XL'!$A$1:$Q$46</definedName>
    <definedName name="_xlnm.Print_Area" localSheetId="3">'600XL'!$A$1:$BF$47</definedName>
    <definedName name="_xlnm.Print_Area" localSheetId="2">NR3XL!$A$1:$Q$48</definedName>
  </definedNames>
  <calcPr calcId="125725"/>
</workbook>
</file>

<file path=xl/calcChain.xml><?xml version="1.0" encoding="utf-8"?>
<calcChain xmlns="http://schemas.openxmlformats.org/spreadsheetml/2006/main">
  <c r="Z43" i="4"/>
  <c r="Z42"/>
  <c r="BH63"/>
  <c r="BH62"/>
  <c r="BH61"/>
  <c r="BH60" s="1"/>
  <c r="BH59" s="1"/>
  <c r="BH58" s="1"/>
  <c r="BH57" s="1"/>
  <c r="BH56" s="1"/>
  <c r="BH55" s="1"/>
  <c r="BH54" s="1"/>
  <c r="BH53" s="1"/>
  <c r="BH52" s="1"/>
  <c r="BH51" s="1"/>
  <c r="BH50" s="1"/>
  <c r="BH49" s="1"/>
  <c r="BH48" s="1"/>
  <c r="BF59"/>
  <c r="BF58"/>
  <c r="BF57"/>
  <c r="BF56"/>
  <c r="BF55" s="1"/>
  <c r="BF54" s="1"/>
  <c r="BF53" s="1"/>
  <c r="BF52" s="1"/>
  <c r="BF51" s="1"/>
  <c r="BF50" s="1"/>
  <c r="BF49" s="1"/>
  <c r="BF48" s="1"/>
  <c r="BF47" s="1"/>
  <c r="BF46" s="1"/>
  <c r="BF45" s="1"/>
  <c r="BF44" s="1"/>
  <c r="BF43" s="1"/>
  <c r="BE58"/>
  <c r="BE56"/>
  <c r="BE54"/>
  <c r="BC44" i="7"/>
  <c r="BC43"/>
  <c r="BC42" s="1"/>
  <c r="BC41" s="1"/>
  <c r="BC40" s="1"/>
  <c r="BC39" s="1"/>
  <c r="BC38" s="1"/>
  <c r="BC37" s="1"/>
  <c r="BB35" s="1"/>
  <c r="BC43" i="2"/>
  <c r="BC42"/>
  <c r="BC41" s="1"/>
  <c r="BC40" s="1"/>
  <c r="BC39" s="1"/>
  <c r="BC38" s="1"/>
  <c r="BC37" s="1"/>
  <c r="AZ39" i="4"/>
  <c r="BC53"/>
  <c r="BC52"/>
  <c r="BC51"/>
  <c r="BC50" s="1"/>
  <c r="BC49" s="1"/>
  <c r="AM23" i="7"/>
  <c r="AM22" s="1"/>
  <c r="AM21" s="1"/>
  <c r="AM20" s="1"/>
  <c r="AM19" s="1"/>
  <c r="AM18" s="1"/>
  <c r="AI18" i="2"/>
  <c r="AI19"/>
  <c r="AI20"/>
  <c r="AI21"/>
  <c r="AI22"/>
  <c r="AI23"/>
  <c r="AJ23"/>
  <c r="AJ22" s="1"/>
  <c r="AJ21" s="1"/>
  <c r="AJ20" s="1"/>
  <c r="AJ19" s="1"/>
  <c r="AJ18" s="1"/>
  <c r="AP20"/>
  <c r="AP19" s="1"/>
  <c r="AP18" s="1"/>
  <c r="AN39" i="7"/>
  <c r="AN38"/>
  <c r="U26"/>
  <c r="AL23"/>
  <c r="AL22" s="1"/>
  <c r="AL21" s="1"/>
  <c r="AL20" s="1"/>
  <c r="AL19" s="1"/>
  <c r="AL18" s="1"/>
  <c r="AK23"/>
  <c r="AK22" s="1"/>
  <c r="AK21" s="1"/>
  <c r="AK20" s="1"/>
  <c r="AK19" s="1"/>
  <c r="AK18" s="1"/>
  <c r="AJ23"/>
  <c r="AJ22" s="1"/>
  <c r="AJ21" s="1"/>
  <c r="AJ20" s="1"/>
  <c r="AJ19" s="1"/>
  <c r="AJ18" s="1"/>
  <c r="AI23"/>
  <c r="AN22"/>
  <c r="AN21" s="1"/>
  <c r="AN20" s="1"/>
  <c r="AN19" s="1"/>
  <c r="AN18" s="1"/>
  <c r="AI22"/>
  <c r="AO22"/>
  <c r="AO21" s="1"/>
  <c r="AO20" s="1"/>
  <c r="AO19" s="1"/>
  <c r="AO18" s="1"/>
  <c r="AI21"/>
  <c r="AT20"/>
  <c r="AS20"/>
  <c r="AR20"/>
  <c r="AR19" s="1"/>
  <c r="AR18" s="1"/>
  <c r="AQ20"/>
  <c r="AQ19" s="1"/>
  <c r="AQ18" s="1"/>
  <c r="AP21"/>
  <c r="AP20" s="1"/>
  <c r="AP19" s="1"/>
  <c r="AP18" s="1"/>
  <c r="AI20"/>
  <c r="AY18"/>
  <c r="AX18"/>
  <c r="AW19"/>
  <c r="AW18" s="1"/>
  <c r="AV19"/>
  <c r="AV18" s="1"/>
  <c r="AU19"/>
  <c r="AU18" s="1"/>
  <c r="AT19"/>
  <c r="AT18" s="1"/>
  <c r="AS19"/>
  <c r="AS18" s="1"/>
  <c r="AI19"/>
  <c r="BC18"/>
  <c r="BC16" s="1"/>
  <c r="BB18"/>
  <c r="BA18"/>
  <c r="AZ18"/>
  <c r="AI18"/>
  <c r="U26" i="2"/>
  <c r="AN39"/>
  <c r="AN38"/>
  <c r="BC18"/>
  <c r="BC16" s="1"/>
  <c r="BB18"/>
  <c r="BA18"/>
  <c r="AZ18"/>
  <c r="AY19"/>
  <c r="AY18" s="1"/>
  <c r="AX19"/>
  <c r="AX18" s="1"/>
  <c r="AW19"/>
  <c r="AW18" s="1"/>
  <c r="AV19"/>
  <c r="AV18" s="1"/>
  <c r="AU19"/>
  <c r="AU18" s="1"/>
  <c r="AT20"/>
  <c r="AT19" s="1"/>
  <c r="AT18" s="1"/>
  <c r="AS20"/>
  <c r="AS19" s="1"/>
  <c r="AS18" s="1"/>
  <c r="AR20"/>
  <c r="AR19" s="1"/>
  <c r="AR18" s="1"/>
  <c r="AQ20"/>
  <c r="AQ19" s="1"/>
  <c r="AQ18" s="1"/>
  <c r="AO21"/>
  <c r="AO20" s="1"/>
  <c r="AO19" s="1"/>
  <c r="AO18" s="1"/>
  <c r="AN22"/>
  <c r="AN21" s="1"/>
  <c r="AN20" s="1"/>
  <c r="AN19" s="1"/>
  <c r="AN18" s="1"/>
  <c r="AM22"/>
  <c r="AM21" s="1"/>
  <c r="AM20" s="1"/>
  <c r="AM19" s="1"/>
  <c r="AM18" s="1"/>
  <c r="AL23"/>
  <c r="AL22" s="1"/>
  <c r="AL21" s="1"/>
  <c r="AL20" s="1"/>
  <c r="AL19" s="1"/>
  <c r="AL18" s="1"/>
  <c r="AK23"/>
  <c r="AK22" s="1"/>
  <c r="AK21" s="1"/>
  <c r="AK20" s="1"/>
  <c r="AK19" s="1"/>
  <c r="BM43" i="4"/>
  <c r="BM42"/>
  <c r="G9" i="1"/>
  <c r="E10" s="1"/>
  <c r="V12"/>
  <c r="W12" s="1"/>
  <c r="V11"/>
  <c r="W11" s="1"/>
  <c r="V10"/>
  <c r="W10" s="1"/>
  <c r="V9"/>
  <c r="W9" s="1"/>
  <c r="V8"/>
  <c r="W8" s="1"/>
  <c r="V7"/>
  <c r="W7" s="1"/>
  <c r="V6"/>
  <c r="W6" s="1"/>
  <c r="V13"/>
  <c r="W13" s="1"/>
  <c r="X13" s="1"/>
  <c r="T12"/>
  <c r="T11" s="1"/>
  <c r="T10" s="1"/>
  <c r="T9" s="1"/>
  <c r="T8" s="1"/>
  <c r="T7" s="1"/>
  <c r="T6" s="1"/>
  <c r="Q6"/>
  <c r="AQ24" i="4"/>
  <c r="AQ25"/>
  <c r="AQ26"/>
  <c r="AQ27"/>
  <c r="AQ28"/>
  <c r="AQ29"/>
  <c r="AQ30"/>
  <c r="AQ31"/>
  <c r="AR31"/>
  <c r="AR30" s="1"/>
  <c r="AR29" s="1"/>
  <c r="AR28" s="1"/>
  <c r="AR27" s="1"/>
  <c r="AR26" s="1"/>
  <c r="AR25" s="1"/>
  <c r="AR24" s="1"/>
  <c r="AS31"/>
  <c r="AS30" s="1"/>
  <c r="AS29" s="1"/>
  <c r="AS28" s="1"/>
  <c r="AS27" s="1"/>
  <c r="AS26" s="1"/>
  <c r="AS25" s="1"/>
  <c r="AS24" s="1"/>
  <c r="AV30"/>
  <c r="AV29" s="1"/>
  <c r="AV28" s="1"/>
  <c r="AV27" s="1"/>
  <c r="AV26" s="1"/>
  <c r="AV25" s="1"/>
  <c r="AV24" s="1"/>
  <c r="AT31"/>
  <c r="AT30" s="1"/>
  <c r="AT29" s="1"/>
  <c r="AT28" s="1"/>
  <c r="AT27" s="1"/>
  <c r="AT26" s="1"/>
  <c r="AT25" s="1"/>
  <c r="AT24" s="1"/>
  <c r="AU31"/>
  <c r="AU30" s="1"/>
  <c r="AU29" s="1"/>
  <c r="AU28" s="1"/>
  <c r="AU27" s="1"/>
  <c r="AU26" s="1"/>
  <c r="AU25" s="1"/>
  <c r="AU24" s="1"/>
  <c r="AU54"/>
  <c r="AU56"/>
  <c r="AU58"/>
  <c r="AX29"/>
  <c r="AX28" s="1"/>
  <c r="AX27" s="1"/>
  <c r="AX26" s="1"/>
  <c r="AX25" s="1"/>
  <c r="AX24" s="1"/>
  <c r="CY24"/>
  <c r="CX24"/>
  <c r="CW24"/>
  <c r="CV24"/>
  <c r="CU24"/>
  <c r="CT24"/>
  <c r="CS24"/>
  <c r="CR24"/>
  <c r="CQ24"/>
  <c r="CP24"/>
  <c r="CO24"/>
  <c r="CN24"/>
  <c r="CM24"/>
  <c r="CL24"/>
  <c r="CK24"/>
  <c r="CJ25"/>
  <c r="CJ24" s="1"/>
  <c r="CI25"/>
  <c r="CI24" s="1"/>
  <c r="CH25"/>
  <c r="CH24" s="1"/>
  <c r="CG25"/>
  <c r="CG24" s="1"/>
  <c r="CF25"/>
  <c r="CF24" s="1"/>
  <c r="CE25"/>
  <c r="CE24" s="1"/>
  <c r="CD25"/>
  <c r="CD24" s="1"/>
  <c r="CC25"/>
  <c r="CC24" s="1"/>
  <c r="CB25"/>
  <c r="CB24" s="1"/>
  <c r="CA25"/>
  <c r="CA24" s="1"/>
  <c r="BZ25"/>
  <c r="BZ24" s="1"/>
  <c r="BY25"/>
  <c r="BY24" s="1"/>
  <c r="BX25"/>
  <c r="BX24" s="1"/>
  <c r="BW26"/>
  <c r="BW25" s="1"/>
  <c r="BW24" s="1"/>
  <c r="BV26"/>
  <c r="BV25" s="1"/>
  <c r="BV24" s="1"/>
  <c r="BU26"/>
  <c r="BU25" s="1"/>
  <c r="BU24" s="1"/>
  <c r="BT26"/>
  <c r="BT25" s="1"/>
  <c r="BT24" s="1"/>
  <c r="BS26"/>
  <c r="BS25" s="1"/>
  <c r="BS24" s="1"/>
  <c r="BR26"/>
  <c r="BR25" s="1"/>
  <c r="BR24" s="1"/>
  <c r="BQ26"/>
  <c r="BQ25" s="1"/>
  <c r="BQ24" s="1"/>
  <c r="BP26"/>
  <c r="BP25" s="1"/>
  <c r="BP24" s="1"/>
  <c r="BO26"/>
  <c r="BO25" s="1"/>
  <c r="BO24" s="1"/>
  <c r="BN26"/>
  <c r="BN25" s="1"/>
  <c r="BN24" s="1"/>
  <c r="BM26"/>
  <c r="BM25" s="1"/>
  <c r="BM24" s="1"/>
  <c r="BL26"/>
  <c r="BL25" s="1"/>
  <c r="BL24" s="1"/>
  <c r="BK27"/>
  <c r="BK26" s="1"/>
  <c r="BK25" s="1"/>
  <c r="BK24" s="1"/>
  <c r="BJ27"/>
  <c r="BJ26" s="1"/>
  <c r="BJ25" s="1"/>
  <c r="BJ24" s="1"/>
  <c r="BI27"/>
  <c r="BI26" s="1"/>
  <c r="BI25" s="1"/>
  <c r="BI24" s="1"/>
  <c r="AY29"/>
  <c r="AY28" s="1"/>
  <c r="AY27" s="1"/>
  <c r="AY26" s="1"/>
  <c r="AY25" s="1"/>
  <c r="AY24" s="1"/>
  <c r="AZ29"/>
  <c r="AZ28" s="1"/>
  <c r="AZ27" s="1"/>
  <c r="AZ26" s="1"/>
  <c r="AZ25" s="1"/>
  <c r="AZ24" s="1"/>
  <c r="BA29"/>
  <c r="BA28" s="1"/>
  <c r="BA27" s="1"/>
  <c r="BA26" s="1"/>
  <c r="BA25" s="1"/>
  <c r="BA24" s="1"/>
  <c r="BB28"/>
  <c r="BB27" s="1"/>
  <c r="BB26" s="1"/>
  <c r="BB25" s="1"/>
  <c r="BC28"/>
  <c r="BC27" s="1"/>
  <c r="BC26" s="1"/>
  <c r="BC25" s="1"/>
  <c r="BC24" s="1"/>
  <c r="BD28"/>
  <c r="BD27" s="1"/>
  <c r="BD26" s="1"/>
  <c r="BD25" s="1"/>
  <c r="BE28"/>
  <c r="BE27" s="1"/>
  <c r="BE26" s="1"/>
  <c r="BE25" s="1"/>
  <c r="BE24" s="1"/>
  <c r="BF28"/>
  <c r="BF27" s="1"/>
  <c r="BF26" s="1"/>
  <c r="BF25" s="1"/>
  <c r="BG28"/>
  <c r="BG27" s="1"/>
  <c r="BG26" s="1"/>
  <c r="BG25" s="1"/>
  <c r="BG24" s="1"/>
  <c r="BH27"/>
  <c r="BH26" s="1"/>
  <c r="BH25" s="1"/>
  <c r="BH24" s="1"/>
  <c r="AW30"/>
  <c r="AW29" s="1"/>
  <c r="AW28" s="1"/>
  <c r="AW27" s="1"/>
  <c r="AW26" s="1"/>
  <c r="AW25" s="1"/>
  <c r="AW24" s="1"/>
  <c r="AI18"/>
  <c r="AI16"/>
  <c r="AI14"/>
  <c r="BB16" i="7" l="1"/>
  <c r="BA16" s="1"/>
  <c r="AZ16" s="1"/>
  <c r="AY16" s="1"/>
  <c r="AX16" s="1"/>
  <c r="AW16" s="1"/>
  <c r="AV16" s="1"/>
  <c r="AU16" s="1"/>
  <c r="AT16" s="1"/>
  <c r="AS16" s="1"/>
  <c r="AR16" s="1"/>
  <c r="AQ16" s="1"/>
  <c r="AP16" s="1"/>
  <c r="AO16" s="1"/>
  <c r="AN16" s="1"/>
  <c r="AM16" s="1"/>
  <c r="AL16" s="1"/>
  <c r="AK16" s="1"/>
  <c r="AJ16" s="1"/>
  <c r="AI16" s="1"/>
  <c r="AI14" s="1"/>
  <c r="Z44" i="4"/>
  <c r="BH47"/>
  <c r="BH46" s="1"/>
  <c r="BH45" s="1"/>
  <c r="BH44" s="1"/>
  <c r="BH43" s="1"/>
  <c r="AP40" i="7"/>
  <c r="AN40" s="1"/>
  <c r="AK18" i="2"/>
  <c r="BB35"/>
  <c r="BB16"/>
  <c r="BA16" s="1"/>
  <c r="AZ16" s="1"/>
  <c r="AY16" s="1"/>
  <c r="AX16" s="1"/>
  <c r="AP40"/>
  <c r="AN40" s="1"/>
  <c r="BO44" i="4"/>
  <c r="BM44" s="1"/>
  <c r="G12" i="1"/>
  <c r="C11"/>
  <c r="G11" s="1"/>
  <c r="CY22" i="4"/>
  <c r="CX22" s="1"/>
  <c r="CW22" s="1"/>
  <c r="CV22" s="1"/>
  <c r="CU22" s="1"/>
  <c r="CT22" s="1"/>
  <c r="CS22" s="1"/>
  <c r="CR22" s="1"/>
  <c r="CQ22" s="1"/>
  <c r="CP22" s="1"/>
  <c r="CO22" s="1"/>
  <c r="CN22" s="1"/>
  <c r="CM22" s="1"/>
  <c r="CL22" s="1"/>
  <c r="CK22" s="1"/>
  <c r="CJ22" s="1"/>
  <c r="CI22" s="1"/>
  <c r="CH22" s="1"/>
  <c r="CG22" s="1"/>
  <c r="CF22" s="1"/>
  <c r="CE22" s="1"/>
  <c r="CD22" s="1"/>
  <c r="CC22" s="1"/>
  <c r="CB22" s="1"/>
  <c r="CA22" s="1"/>
  <c r="BZ22" s="1"/>
  <c r="BY22" s="1"/>
  <c r="BX22" s="1"/>
  <c r="BW22" s="1"/>
  <c r="BV22" s="1"/>
  <c r="BU22" s="1"/>
  <c r="BT22" s="1"/>
  <c r="BS22" s="1"/>
  <c r="BR22" s="1"/>
  <c r="BQ22" s="1"/>
  <c r="BP22" s="1"/>
  <c r="BO22" s="1"/>
  <c r="BN22" s="1"/>
  <c r="BM22" s="1"/>
  <c r="BL22" s="1"/>
  <c r="BK22" s="1"/>
  <c r="BJ22" s="1"/>
  <c r="BI22" s="1"/>
  <c r="BH22" s="1"/>
  <c r="BG22" s="1"/>
  <c r="Y13" i="1"/>
  <c r="Y12" s="1"/>
  <c r="Y11" s="1"/>
  <c r="Y10" s="1"/>
  <c r="Y9" s="1"/>
  <c r="Y8" s="1"/>
  <c r="Y7" s="1"/>
  <c r="Y6" s="1"/>
  <c r="X12"/>
  <c r="X11" s="1"/>
  <c r="X10" s="1"/>
  <c r="X9" s="1"/>
  <c r="X8" s="1"/>
  <c r="X7" s="1"/>
  <c r="X6" s="1"/>
  <c r="T4"/>
  <c r="BD24" i="4"/>
  <c r="BB24"/>
  <c r="BF24"/>
  <c r="AI12" i="7" l="1"/>
  <c r="AI13" s="1"/>
  <c r="T8" s="1"/>
  <c r="T7"/>
  <c r="AW16" i="2"/>
  <c r="AV16" s="1"/>
  <c r="AU16" s="1"/>
  <c r="AT16" s="1"/>
  <c r="AS16" s="1"/>
  <c r="AR16" s="1"/>
  <c r="AQ16" s="1"/>
  <c r="AP16" s="1"/>
  <c r="AO16" s="1"/>
  <c r="AN16" s="1"/>
  <c r="AM16" s="1"/>
  <c r="AL16" s="1"/>
  <c r="AK16" s="1"/>
  <c r="AJ16" s="1"/>
  <c r="AI16" s="1"/>
  <c r="AI14" s="1"/>
  <c r="AI12" s="1"/>
  <c r="AI13" s="1"/>
  <c r="AP43" i="7"/>
  <c r="AL41"/>
  <c r="AQ42" s="1"/>
  <c r="AL41" i="2"/>
  <c r="AQ42" s="1"/>
  <c r="AP43"/>
  <c r="BO47" i="4"/>
  <c r="BK46" s="1"/>
  <c r="BK45"/>
  <c r="BP46" s="1"/>
  <c r="L13" i="1"/>
  <c r="L14" s="1"/>
  <c r="L15" s="1"/>
  <c r="H11"/>
  <c r="C12"/>
  <c r="Q7"/>
  <c r="BF22" i="4"/>
  <c r="BE22" s="1"/>
  <c r="BD22" s="1"/>
  <c r="BC22" s="1"/>
  <c r="BB22" s="1"/>
  <c r="BA22" s="1"/>
  <c r="AZ22" s="1"/>
  <c r="AY22" s="1"/>
  <c r="AX22" s="1"/>
  <c r="AW22" s="1"/>
  <c r="AP42" i="7" l="1"/>
  <c r="AN43" s="1"/>
  <c r="AL42"/>
  <c r="AJ8"/>
  <c r="BB34"/>
  <c r="U8" s="1"/>
  <c r="K23"/>
  <c r="K22"/>
  <c r="AI8"/>
  <c r="T7" i="2"/>
  <c r="AL42"/>
  <c r="AP42"/>
  <c r="BO46" i="4"/>
  <c r="BM47" s="1"/>
  <c r="Y9" s="1"/>
  <c r="Q9" i="1"/>
  <c r="R15" s="1"/>
  <c r="X4" s="1"/>
  <c r="C24" s="1"/>
  <c r="E25" s="1"/>
  <c r="C26" s="1"/>
  <c r="AV22" i="4"/>
  <c r="AU22" s="1"/>
  <c r="W12" i="7" l="1"/>
  <c r="AL44"/>
  <c r="AL46"/>
  <c r="AL45"/>
  <c r="AU44"/>
  <c r="K29"/>
  <c r="K26"/>
  <c r="K28"/>
  <c r="K25"/>
  <c r="AL8"/>
  <c r="U7"/>
  <c r="M22" s="1"/>
  <c r="M25" s="1"/>
  <c r="M28" s="1"/>
  <c r="M23"/>
  <c r="M26" s="1"/>
  <c r="AT22" i="4"/>
  <c r="AS22" s="1"/>
  <c r="AR22" s="1"/>
  <c r="AQ22" s="1"/>
  <c r="AU44" i="2"/>
  <c r="AT44" s="1"/>
  <c r="AS44" s="1"/>
  <c r="AQ44" s="1"/>
  <c r="AR44" s="1"/>
  <c r="AN44" s="1"/>
  <c r="AN43"/>
  <c r="W12" s="1"/>
  <c r="AI8"/>
  <c r="K22"/>
  <c r="T8"/>
  <c r="BB34" s="1"/>
  <c r="U8" s="1"/>
  <c r="BT48" i="4"/>
  <c r="BS48" s="1"/>
  <c r="BR48" s="1"/>
  <c r="BP48" s="1"/>
  <c r="BQ48" s="1"/>
  <c r="BM48" s="1"/>
  <c r="BK48"/>
  <c r="BK49"/>
  <c r="BK50"/>
  <c r="D26" i="1"/>
  <c r="D28"/>
  <c r="D27"/>
  <c r="C27"/>
  <c r="E27" s="1"/>
  <c r="C28"/>
  <c r="E28" s="1"/>
  <c r="E26"/>
  <c r="C25"/>
  <c r="AT44" i="7" l="1"/>
  <c r="AS44" s="1"/>
  <c r="AQ44" s="1"/>
  <c r="AR44" s="1"/>
  <c r="AN44" s="1"/>
  <c r="AU45"/>
  <c r="M29"/>
  <c r="AQ20" i="4"/>
  <c r="Y4" s="1"/>
  <c r="U7" i="2"/>
  <c r="AO44"/>
  <c r="AM44"/>
  <c r="AU45"/>
  <c r="AU46" s="1"/>
  <c r="AS46" s="1"/>
  <c r="AQ46" s="1"/>
  <c r="AR46" s="1"/>
  <c r="AN46" s="1"/>
  <c r="AJ8"/>
  <c r="K23"/>
  <c r="K25"/>
  <c r="K28"/>
  <c r="AL44"/>
  <c r="AL46"/>
  <c r="AL45"/>
  <c r="BT49" i="4"/>
  <c r="BT50" s="1"/>
  <c r="BN48"/>
  <c r="BL48"/>
  <c r="AM44" i="7" l="1"/>
  <c r="AO44"/>
  <c r="AU46"/>
  <c r="AS46" s="1"/>
  <c r="AQ46" s="1"/>
  <c r="AR46" s="1"/>
  <c r="AN46" s="1"/>
  <c r="AS45"/>
  <c r="AQ45" s="1"/>
  <c r="AR45" s="1"/>
  <c r="AN45" s="1"/>
  <c r="AI9"/>
  <c r="V7" s="1"/>
  <c r="O22" s="1"/>
  <c r="S19" s="1"/>
  <c r="AS18" i="4"/>
  <c r="Y6" s="1"/>
  <c r="BG41" s="1"/>
  <c r="BE41" s="1"/>
  <c r="K26"/>
  <c r="K22"/>
  <c r="K30"/>
  <c r="AQ15"/>
  <c r="M22" i="2"/>
  <c r="M25" s="1"/>
  <c r="M28" s="1"/>
  <c r="AS45"/>
  <c r="AQ45" s="1"/>
  <c r="AR45" s="1"/>
  <c r="AN45" s="1"/>
  <c r="AO45" s="1"/>
  <c r="K26"/>
  <c r="K29"/>
  <c r="AL8"/>
  <c r="AI9" s="1"/>
  <c r="AJ9" s="1"/>
  <c r="V8" s="1"/>
  <c r="AO46"/>
  <c r="AM46"/>
  <c r="BR49" i="4"/>
  <c r="BP49" s="1"/>
  <c r="BQ49" s="1"/>
  <c r="BM49" s="1"/>
  <c r="BR50"/>
  <c r="BP50" s="1"/>
  <c r="BQ50" s="1"/>
  <c r="BM50" s="1"/>
  <c r="AO46" i="7" l="1"/>
  <c r="AM46"/>
  <c r="O28"/>
  <c r="AJ9"/>
  <c r="V8" s="1"/>
  <c r="O23" s="1"/>
  <c r="S20" s="1"/>
  <c r="AO45"/>
  <c r="AM45"/>
  <c r="O25"/>
  <c r="AR18" i="4"/>
  <c r="AQ18" s="1"/>
  <c r="AQ19" s="1"/>
  <c r="Y5" s="1"/>
  <c r="AS15"/>
  <c r="K28"/>
  <c r="K24"/>
  <c r="K32"/>
  <c r="M23" i="2"/>
  <c r="M26" s="1"/>
  <c r="M29" s="1"/>
  <c r="AM45"/>
  <c r="O25"/>
  <c r="S23" s="1"/>
  <c r="O28"/>
  <c r="BN49" i="4"/>
  <c r="BL49"/>
  <c r="BN50"/>
  <c r="BL50"/>
  <c r="S27" i="7" l="1"/>
  <c r="W14"/>
  <c r="W16" s="1"/>
  <c r="O29"/>
  <c r="S28" s="1"/>
  <c r="S23"/>
  <c r="O26"/>
  <c r="S24" s="1"/>
  <c r="K31" i="4"/>
  <c r="K27"/>
  <c r="K23"/>
  <c r="AR15"/>
  <c r="AT15" s="1"/>
  <c r="AQ16" s="1"/>
  <c r="W14" i="2"/>
  <c r="W16" s="1"/>
  <c r="S27"/>
  <c r="O26"/>
  <c r="S24" s="1"/>
  <c r="V7"/>
  <c r="O22" s="1"/>
  <c r="S19" s="1"/>
  <c r="O29"/>
  <c r="S28" s="1"/>
  <c r="S29" i="7" l="1"/>
  <c r="U25" s="1"/>
  <c r="U24" s="1"/>
  <c r="U23" s="1"/>
  <c r="U22" s="1"/>
  <c r="U21" s="1"/>
  <c r="U20" s="1"/>
  <c r="U19" s="1"/>
  <c r="K17" s="1"/>
  <c r="B32"/>
  <c r="O30" i="4"/>
  <c r="Y24" s="1"/>
  <c r="BX99"/>
  <c r="BX98" s="1"/>
  <c r="BX97" s="1"/>
  <c r="BX96" s="1"/>
  <c r="BX95" s="1"/>
  <c r="BX94" s="1"/>
  <c r="BX93" s="1"/>
  <c r="BX92" s="1"/>
  <c r="BX91" s="1"/>
  <c r="BX90" s="1"/>
  <c r="BX89" s="1"/>
  <c r="BX88" s="1"/>
  <c r="BX87" s="1"/>
  <c r="BX86" s="1"/>
  <c r="BX85" s="1"/>
  <c r="BX84" s="1"/>
  <c r="BX83" s="1"/>
  <c r="BX82" s="1"/>
  <c r="BX81" s="1"/>
  <c r="BX80" s="1"/>
  <c r="BX79" s="1"/>
  <c r="BX78" s="1"/>
  <c r="BX77" s="1"/>
  <c r="BX76" s="1"/>
  <c r="BX75" s="1"/>
  <c r="BX74" s="1"/>
  <c r="BX73" s="1"/>
  <c r="BX72" s="1"/>
  <c r="BX71" s="1"/>
  <c r="BX70" s="1"/>
  <c r="BX69" s="1"/>
  <c r="BX68" s="1"/>
  <c r="BX67" s="1"/>
  <c r="BX66" s="1"/>
  <c r="BX65" s="1"/>
  <c r="BX64" s="1"/>
  <c r="BX63" s="1"/>
  <c r="BX62" s="1"/>
  <c r="BX61" s="1"/>
  <c r="BX60" s="1"/>
  <c r="BX59" s="1"/>
  <c r="BX58" s="1"/>
  <c r="BX57" s="1"/>
  <c r="BX56" s="1"/>
  <c r="BX55" s="1"/>
  <c r="BX54" s="1"/>
  <c r="BX53" s="1"/>
  <c r="BX52" s="1"/>
  <c r="BX51" s="1"/>
  <c r="BX50" s="1"/>
  <c r="BX49" s="1"/>
  <c r="BX48" s="1"/>
  <c r="BX47" s="1"/>
  <c r="BX46" s="1"/>
  <c r="BX45" s="1"/>
  <c r="BX44" s="1"/>
  <c r="BX43" s="1"/>
  <c r="BX42" s="1"/>
  <c r="BW39" s="1"/>
  <c r="AA41" s="1"/>
  <c r="BX100"/>
  <c r="BX102"/>
  <c r="BX101"/>
  <c r="AV59"/>
  <c r="AV58" s="1"/>
  <c r="AV57" s="1"/>
  <c r="AV56" s="1"/>
  <c r="AV55" s="1"/>
  <c r="AV54" s="1"/>
  <c r="AV53" s="1"/>
  <c r="AV52" s="1"/>
  <c r="AV51" s="1"/>
  <c r="AV50" s="1"/>
  <c r="AV49" s="1"/>
  <c r="AV48" s="1"/>
  <c r="AV47" s="1"/>
  <c r="AV46" s="1"/>
  <c r="AV45" s="1"/>
  <c r="AV44" s="1"/>
  <c r="AV43" s="1"/>
  <c r="AU41" s="1"/>
  <c r="AX63"/>
  <c r="AX62" s="1"/>
  <c r="AX61" s="1"/>
  <c r="AX60" s="1"/>
  <c r="AX59" s="1"/>
  <c r="AX58" s="1"/>
  <c r="AX57" s="1"/>
  <c r="AX56" s="1"/>
  <c r="AX55" s="1"/>
  <c r="AX54" s="1"/>
  <c r="AX53" s="1"/>
  <c r="AX52" s="1"/>
  <c r="AX51" s="1"/>
  <c r="AX50" s="1"/>
  <c r="AX49" s="1"/>
  <c r="AX48" s="1"/>
  <c r="AX47" s="1"/>
  <c r="AX46" s="1"/>
  <c r="AX45" s="1"/>
  <c r="AX44" s="1"/>
  <c r="AX43" s="1"/>
  <c r="AW41" s="1"/>
  <c r="AR16"/>
  <c r="AS16" s="1"/>
  <c r="AA6" s="1"/>
  <c r="AT53"/>
  <c r="AT52" s="1"/>
  <c r="AT51" s="1"/>
  <c r="AT50" s="1"/>
  <c r="AT49" s="1"/>
  <c r="AT48" s="1"/>
  <c r="AT47" s="1"/>
  <c r="AT46" s="1"/>
  <c r="AT45" s="1"/>
  <c r="AT44" s="1"/>
  <c r="AT43" s="1"/>
  <c r="AZ75"/>
  <c r="AZ74" s="1"/>
  <c r="AZ73" s="1"/>
  <c r="AZ72" s="1"/>
  <c r="AZ71" s="1"/>
  <c r="AZ70" s="1"/>
  <c r="AZ69" s="1"/>
  <c r="AZ68" s="1"/>
  <c r="AZ67" s="1"/>
  <c r="AZ66" s="1"/>
  <c r="AZ65" s="1"/>
  <c r="AZ64" s="1"/>
  <c r="AZ63" s="1"/>
  <c r="AZ62" s="1"/>
  <c r="AZ61" s="1"/>
  <c r="AZ60" s="1"/>
  <c r="AZ59" s="1"/>
  <c r="AZ58" s="1"/>
  <c r="AZ57" s="1"/>
  <c r="AZ56" s="1"/>
  <c r="AZ55" s="1"/>
  <c r="AZ54" s="1"/>
  <c r="AZ53" s="1"/>
  <c r="AZ52" s="1"/>
  <c r="AZ51" s="1"/>
  <c r="AZ50" s="1"/>
  <c r="AZ49" s="1"/>
  <c r="AZ48" s="1"/>
  <c r="AZ47" s="1"/>
  <c r="AZ46" s="1"/>
  <c r="AZ45" s="1"/>
  <c r="AZ44" s="1"/>
  <c r="AZ43" s="1"/>
  <c r="AY41" s="1"/>
  <c r="AY40" s="1"/>
  <c r="AW40" s="1"/>
  <c r="AU40" s="1"/>
  <c r="O26"/>
  <c r="Y20" s="1"/>
  <c r="U39" i="2"/>
  <c r="U41" s="1"/>
  <c r="B33"/>
  <c r="S29"/>
  <c r="O23"/>
  <c r="S20" s="1"/>
  <c r="U39" i="7" l="1"/>
  <c r="U41" s="1"/>
  <c r="Y12" i="4"/>
  <c r="Y11"/>
  <c r="AA4"/>
  <c r="O22" s="1"/>
  <c r="Y16" s="1"/>
  <c r="U25" i="2"/>
  <c r="U24" s="1"/>
  <c r="U23" s="1"/>
  <c r="U22" s="1"/>
  <c r="U21" s="1"/>
  <c r="U20" s="1"/>
  <c r="U19" s="1"/>
  <c r="K17" s="1"/>
  <c r="O24" i="4"/>
  <c r="Y13" l="1"/>
  <c r="E13" i="1"/>
  <c r="C14" s="1"/>
  <c r="C15" l="1"/>
  <c r="K13"/>
  <c r="J13" s="1"/>
  <c r="H13" s="1"/>
  <c r="I13" s="1"/>
  <c r="E14" s="1"/>
  <c r="D14" s="1"/>
  <c r="C16"/>
  <c r="AS41" i="4" l="1"/>
  <c r="J14" i="1"/>
  <c r="H14" s="1"/>
  <c r="I14" s="1"/>
  <c r="E15" s="1"/>
  <c r="D15" s="1"/>
  <c r="F14"/>
  <c r="AS40" i="4" l="1"/>
  <c r="Z5" s="1"/>
  <c r="F15" i="1"/>
  <c r="J15"/>
  <c r="H15" s="1"/>
  <c r="I15" s="1"/>
  <c r="E16" s="1"/>
  <c r="D16" s="1"/>
  <c r="AA42" i="4" l="1"/>
  <c r="AA5"/>
  <c r="O23" s="1"/>
  <c r="Y17" s="1"/>
  <c r="M27"/>
  <c r="O27" s="1"/>
  <c r="Y21" s="1"/>
  <c r="M31"/>
  <c r="O31" s="1"/>
  <c r="Y25" s="1"/>
  <c r="M23"/>
  <c r="F16" i="1"/>
  <c r="BC48" i="4" l="1"/>
  <c r="BC47" s="1"/>
  <c r="BC46" s="1"/>
  <c r="BC45" s="1"/>
  <c r="BC44" s="1"/>
  <c r="BC43" l="1"/>
  <c r="BB41" s="1"/>
  <c r="Z6" s="1"/>
  <c r="AA43" s="1"/>
  <c r="AA44" s="1"/>
  <c r="AA45" s="1"/>
  <c r="Y18" l="1"/>
  <c r="Z4"/>
  <c r="M22" l="1"/>
  <c r="M26"/>
  <c r="M30"/>
  <c r="M24"/>
  <c r="M32"/>
  <c r="O32" s="1"/>
  <c r="Y26" s="1"/>
  <c r="M28"/>
  <c r="O28" s="1"/>
  <c r="Y22" s="1"/>
  <c r="Y28" l="1"/>
  <c r="Z48" s="1"/>
  <c r="Z50" l="1"/>
  <c r="Z38"/>
  <c r="Z37" s="1"/>
  <c r="Z36" s="1"/>
  <c r="Z35" s="1"/>
  <c r="Z34" s="1"/>
  <c r="Z33" s="1"/>
  <c r="Z32" s="1"/>
  <c r="Z31" s="1"/>
  <c r="Z30" s="1"/>
  <c r="K17" s="1"/>
</calcChain>
</file>

<file path=xl/sharedStrings.xml><?xml version="1.0" encoding="utf-8"?>
<sst xmlns="http://schemas.openxmlformats.org/spreadsheetml/2006/main" count="326" uniqueCount="110">
  <si>
    <t>Pressure Reduction in Series:</t>
  </si>
  <si>
    <t>Reduction Ratio:</t>
  </si>
  <si>
    <t>Max Water Temperature</t>
  </si>
  <si>
    <t>Max reduction</t>
  </si>
  <si>
    <t>Flow Rate</t>
  </si>
  <si>
    <t>Falloff</t>
  </si>
  <si>
    <t>1/2"</t>
  </si>
  <si>
    <t>3/4"</t>
  </si>
  <si>
    <t>1"</t>
  </si>
  <si>
    <t>1-1/4"</t>
  </si>
  <si>
    <t>1-1/2"</t>
  </si>
  <si>
    <t>2"</t>
  </si>
  <si>
    <t>Min Flow</t>
  </si>
  <si>
    <t>Min Working Inlet Pressure</t>
  </si>
  <si>
    <t>Inet Pressure (PSI):</t>
  </si>
  <si>
    <t>Outlet Pressure(PSI):</t>
  </si>
  <si>
    <t>Min Reduction Pressure (1/2"-1-1/4")</t>
  </si>
  <si>
    <t>Min Reduction Pressure (1-1/2" - 2")</t>
  </si>
  <si>
    <t>Min Reduction Pressure</t>
  </si>
  <si>
    <t>2-1/2"</t>
  </si>
  <si>
    <t>3"</t>
  </si>
  <si>
    <t>Low Flow Bypass in Parallel:</t>
  </si>
  <si>
    <t>Valve Size</t>
  </si>
  <si>
    <t>1 1/4"</t>
  </si>
  <si>
    <t>1 1/2"</t>
  </si>
  <si>
    <t>2 1/2"</t>
  </si>
  <si>
    <t>Pipe Size</t>
  </si>
  <si>
    <t>Minimum Flow Rate (GPM):</t>
  </si>
  <si>
    <t>Maximum Flow Rate (GPM):</t>
  </si>
  <si>
    <t xml:space="preserve">Falloff </t>
  </si>
  <si>
    <t>Min Flow (GPM)</t>
  </si>
  <si>
    <t>Max Flow (GPM)</t>
  </si>
  <si>
    <t>Allowable Falloff (PSI)</t>
  </si>
  <si>
    <t>Inlet Pressure (PSI)</t>
  </si>
  <si>
    <t>Outlet Pressure (PSI)</t>
  </si>
  <si>
    <t>part numbers</t>
  </si>
  <si>
    <t>Number of Valves:</t>
  </si>
  <si>
    <t>None</t>
  </si>
  <si>
    <t>Valve Size (in):</t>
  </si>
  <si>
    <t>Size</t>
  </si>
  <si>
    <t>Flow</t>
  </si>
  <si>
    <t>Pressure (PSI)</t>
  </si>
  <si>
    <t>This program determines whether or not a step reduction/low flow bypass is needed.</t>
  </si>
  <si>
    <t>2) The program will now determine if a step reduction is needed.</t>
  </si>
  <si>
    <t>*Note: High Range/Low Range valves may be suggested and are an optional addition to valves.</t>
  </si>
  <si>
    <t>Step Reduction</t>
  </si>
  <si>
    <t xml:space="preserve">Low Flow </t>
  </si>
  <si>
    <t>1) Start by entering the values for maximum flow rate and minimum flow rate.</t>
  </si>
  <si>
    <t>2) Select a valve size.</t>
  </si>
  <si>
    <t>*Note: This program might suggest a larger valve size due to the conditions of the flow values entered.</t>
  </si>
  <si>
    <t>3) If step reduction is needed, listed will be the amount of valves (steps) needed as well as the value to set the valves at to ensure proper function.</t>
  </si>
  <si>
    <t>(PSI)</t>
  </si>
  <si>
    <t>(F)</t>
  </si>
  <si>
    <t>(GPM)</t>
  </si>
  <si>
    <t>(IN)</t>
  </si>
  <si>
    <t>conditional formatting</t>
  </si>
  <si>
    <t>Inlet Pressure (PSI):</t>
  </si>
  <si>
    <t>*Note: Falloff is typically acceptable in the range of 12-17(PSI)</t>
  </si>
  <si>
    <t>Pressure</t>
  </si>
  <si>
    <t>This program will create a system containing the 500XL specifying the amount of valves, pressure settings, and flow characteristics for proper function.</t>
  </si>
  <si>
    <t>1) Enter the value for the max flow through the system. Then, enter the value for the minimum flow. (If the minimum flow is unknown, leave blank or enter "0"</t>
  </si>
  <si>
    <t xml:space="preserve">3) Enter the value for the system's inlet pressure and the desired outlet pressure. </t>
  </si>
  <si>
    <t xml:space="preserve">4) The program will now generate a table with values relevant to the system's characteristics. </t>
  </si>
  <si>
    <t>Max Working Inlet Pressure</t>
  </si>
  <si>
    <t>Max Reduction Pressure</t>
  </si>
  <si>
    <t>Model 500XL</t>
  </si>
  <si>
    <t>Figure. 1</t>
  </si>
  <si>
    <t>Figure. 2</t>
  </si>
  <si>
    <t>Figure. 3</t>
  </si>
  <si>
    <t>Figure. 4</t>
  </si>
  <si>
    <t>Figure. 5</t>
  </si>
  <si>
    <t>Figure. 6</t>
  </si>
  <si>
    <t>Figure. 7</t>
  </si>
  <si>
    <t>Figure. 8</t>
  </si>
  <si>
    <t>Figure. 9</t>
  </si>
  <si>
    <t>Please reference:</t>
  </si>
  <si>
    <t>5)Please refer to the cell "Figure. Number" in order to see a visual representation of the system.</t>
  </si>
  <si>
    <t>1) Start by entering the values for inlet and outlet pressure. The Reduction Ratio value determines the overall value of reduction. (To prevent valve chatter and unecessary wear, a ratio of 4:1 or less is desired for every valve used.)</t>
  </si>
  <si>
    <r>
      <t xml:space="preserve">3) Valves shown with "Supplied in Size" are valves that are manufactured in that selected size. </t>
    </r>
    <r>
      <rPr>
        <b/>
        <sz val="11"/>
        <color theme="1"/>
        <rFont val="Calibri"/>
        <family val="2"/>
        <scheme val="minor"/>
      </rPr>
      <t>To explore options further, click valve name (or the tabs located at the bottom) and create a model based on the flow characteristics.</t>
    </r>
    <r>
      <rPr>
        <sz val="11"/>
        <color theme="1"/>
        <rFont val="Calibri"/>
        <family val="2"/>
        <scheme val="minor"/>
      </rPr>
      <t xml:space="preserve"> To access the valves' specification sheet, click the cell labeled "SpecSheet"</t>
    </r>
  </si>
  <si>
    <t>This program will create a system containing the NR3XL specifying the amount of valves, pressure settings, and flow characteristics for proper function.</t>
  </si>
  <si>
    <t xml:space="preserve">2) Enter the value for the allowable falloff. Falloff is defined as the pressure drop within a system due to a given flow: i.e. the greater the flow the greater the falloff. </t>
  </si>
  <si>
    <t>(1/2"-1-1/4")</t>
  </si>
  <si>
    <t>(1-1/2" - 2")</t>
  </si>
  <si>
    <t>Model NR3XL</t>
  </si>
  <si>
    <t>Model 600XL</t>
  </si>
  <si>
    <t>This program will create a system containing the 600XL specifying the amount of valves, pressure settings, and flow characteristics for proper function.</t>
  </si>
  <si>
    <t>System 1</t>
  </si>
  <si>
    <t>System 2</t>
  </si>
  <si>
    <t>System 3</t>
  </si>
  <si>
    <t>Installation</t>
  </si>
  <si>
    <t>Error: Please contact manufactor on given specifications. Outlet Pressure may not be achieved with given flow.Alternate methods may be required. Please see ACV.</t>
  </si>
  <si>
    <t>High Flow [C]</t>
  </si>
  <si>
    <t>High Flow [A]</t>
  </si>
  <si>
    <t>High Flow [B]</t>
  </si>
  <si>
    <t>Intermediate Flow [D]</t>
  </si>
  <si>
    <t>Intermediate Flow [E]</t>
  </si>
  <si>
    <t>Low Flow [F]</t>
  </si>
  <si>
    <t>Intermediate Flow [G]</t>
  </si>
  <si>
    <t>Low Flow [H]</t>
  </si>
  <si>
    <t>Low Flow [I]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</si>
  <si>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</si>
  <si>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</si>
  <si>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</si>
  <si>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</si>
  <si>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</si>
  <si>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</si>
  <si>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</si>
  <si>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</si>
  <si>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</si>
  <si>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*Note: figure is only a representation of the system and may vary in detail from each application.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</si>
</sst>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1"/>
      <color theme="8" tint="0.5999938962981048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name val="Cambria"/>
      <family val="1"/>
      <scheme val="major"/>
    </font>
    <font>
      <sz val="4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36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theme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0" fillId="0" borderId="1" xfId="0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2" borderId="1" xfId="0" applyFill="1" applyBorder="1"/>
    <xf numFmtId="0" fontId="0" fillId="2" borderId="21" xfId="0" applyFill="1" applyBorder="1"/>
    <xf numFmtId="0" fontId="0" fillId="0" borderId="23" xfId="0" applyBorder="1"/>
    <xf numFmtId="0" fontId="0" fillId="6" borderId="23" xfId="0" applyFill="1" applyBorder="1"/>
    <xf numFmtId="0" fontId="0" fillId="7" borderId="23" xfId="0" applyFill="1" applyBorder="1"/>
    <xf numFmtId="0" fontId="0" fillId="8" borderId="23" xfId="0" applyFill="1" applyBorder="1"/>
    <xf numFmtId="0" fontId="0" fillId="9" borderId="23" xfId="0" applyFill="1" applyBorder="1"/>
    <xf numFmtId="0" fontId="0" fillId="6" borderId="25" xfId="0" applyFill="1" applyBorder="1"/>
    <xf numFmtId="0" fontId="0" fillId="8" borderId="25" xfId="0" applyFill="1" applyBorder="1"/>
    <xf numFmtId="0" fontId="0" fillId="9" borderId="25" xfId="0" applyFill="1" applyBorder="1"/>
    <xf numFmtId="0" fontId="0" fillId="2" borderId="25" xfId="0" applyFill="1" applyBorder="1"/>
    <xf numFmtId="0" fontId="0" fillId="2" borderId="26" xfId="0" applyFill="1" applyBorder="1"/>
    <xf numFmtId="0" fontId="0" fillId="9" borderId="2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7" borderId="25" xfId="0" applyFill="1" applyBorder="1"/>
    <xf numFmtId="0" fontId="0" fillId="5" borderId="1" xfId="0" applyFill="1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21" fillId="0" borderId="1" xfId="0" applyFont="1" applyBorder="1"/>
    <xf numFmtId="0" fontId="0" fillId="5" borderId="0" xfId="0" applyFill="1"/>
    <xf numFmtId="0" fontId="0" fillId="5" borderId="0" xfId="0" applyFill="1" applyBorder="1"/>
    <xf numFmtId="0" fontId="0" fillId="5" borderId="0" xfId="0" applyFill="1" applyAlignment="1"/>
    <xf numFmtId="0" fontId="0" fillId="5" borderId="0" xfId="0" applyFill="1" applyAlignment="1">
      <alignment horizontal="center"/>
    </xf>
    <xf numFmtId="0" fontId="17" fillId="5" borderId="0" xfId="0" applyFont="1" applyFill="1" applyAlignment="1">
      <alignment vertical="center"/>
    </xf>
    <xf numFmtId="0" fontId="20" fillId="5" borderId="0" xfId="0" applyFont="1" applyFill="1" applyBorder="1" applyAlignment="1">
      <alignment horizontal="left"/>
    </xf>
    <xf numFmtId="0" fontId="20" fillId="5" borderId="0" xfId="0" applyFont="1" applyFill="1" applyBorder="1" applyAlignment="1"/>
    <xf numFmtId="0" fontId="0" fillId="5" borderId="0" xfId="0" applyFill="1" applyBorder="1" applyAlignment="1">
      <alignment wrapText="1"/>
    </xf>
    <xf numFmtId="0" fontId="0" fillId="5" borderId="0" xfId="0" applyFill="1" applyAlignment="1">
      <alignment wrapText="1"/>
    </xf>
    <xf numFmtId="0" fontId="10" fillId="5" borderId="0" xfId="0" applyFont="1" applyFill="1" applyBorder="1"/>
    <xf numFmtId="0" fontId="21" fillId="5" borderId="0" xfId="0" applyFont="1" applyFill="1" applyBorder="1"/>
    <xf numFmtId="0" fontId="0" fillId="5" borderId="2" xfId="0" applyFill="1" applyBorder="1"/>
    <xf numFmtId="0" fontId="0" fillId="5" borderId="11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0" fontId="0" fillId="5" borderId="25" xfId="0" applyFill="1" applyBorder="1"/>
    <xf numFmtId="0" fontId="0" fillId="5" borderId="23" xfId="0" applyFill="1" applyBorder="1"/>
    <xf numFmtId="164" fontId="0" fillId="5" borderId="0" xfId="0" applyNumberFormat="1" applyFill="1"/>
    <xf numFmtId="0" fontId="0" fillId="5" borderId="4" xfId="0" applyFill="1" applyBorder="1" applyAlignment="1">
      <alignment horizontal="center"/>
    </xf>
    <xf numFmtId="0" fontId="0" fillId="5" borderId="26" xfId="0" applyFill="1" applyBorder="1"/>
    <xf numFmtId="0" fontId="0" fillId="5" borderId="21" xfId="0" applyFill="1" applyBorder="1"/>
    <xf numFmtId="0" fontId="0" fillId="5" borderId="24" xfId="0" applyFill="1" applyBorder="1"/>
    <xf numFmtId="0" fontId="22" fillId="5" borderId="0" xfId="1" applyFill="1" applyAlignment="1" applyProtection="1"/>
    <xf numFmtId="0" fontId="1" fillId="5" borderId="1" xfId="0" applyFont="1" applyFill="1" applyBorder="1" applyAlignment="1">
      <alignment horizontal="center"/>
    </xf>
    <xf numFmtId="0" fontId="3" fillId="5" borderId="0" xfId="0" applyFont="1" applyFill="1" applyBorder="1"/>
    <xf numFmtId="0" fontId="24" fillId="5" borderId="0" xfId="0" applyFont="1" applyFill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0" xfId="0" applyFill="1" applyBorder="1"/>
    <xf numFmtId="0" fontId="0" fillId="5" borderId="12" xfId="0" applyFill="1" applyBorder="1"/>
    <xf numFmtId="0" fontId="0" fillId="5" borderId="13" xfId="0" applyFill="1" applyBorder="1" applyAlignment="1">
      <alignment horizontal="center"/>
    </xf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4" xfId="0" applyFill="1" applyBorder="1" applyAlignment="1">
      <alignment horizontal="center"/>
    </xf>
    <xf numFmtId="0" fontId="0" fillId="5" borderId="18" xfId="0" applyFill="1" applyBorder="1"/>
    <xf numFmtId="0" fontId="0" fillId="5" borderId="19" xfId="0" applyFill="1" applyBorder="1"/>
    <xf numFmtId="0" fontId="19" fillId="5" borderId="0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center"/>
    </xf>
    <xf numFmtId="0" fontId="0" fillId="5" borderId="20" xfId="0" applyFill="1" applyBorder="1"/>
    <xf numFmtId="0" fontId="0" fillId="5" borderId="22" xfId="0" applyFill="1" applyBorder="1"/>
    <xf numFmtId="0" fontId="0" fillId="5" borderId="9" xfId="0" applyFill="1" applyBorder="1" applyAlignment="1">
      <alignment horizontal="center"/>
    </xf>
    <xf numFmtId="0" fontId="0" fillId="5" borderId="0" xfId="0" quotePrefix="1" applyFill="1"/>
    <xf numFmtId="0" fontId="3" fillId="5" borderId="0" xfId="0" applyFont="1" applyFill="1" applyBorder="1" applyAlignment="1">
      <alignment horizontal="center" vertical="center" wrapText="1"/>
    </xf>
    <xf numFmtId="0" fontId="0" fillId="5" borderId="0" xfId="0" applyFill="1" applyProtection="1"/>
    <xf numFmtId="0" fontId="0" fillId="5" borderId="0" xfId="0" applyFill="1" applyAlignment="1" applyProtection="1">
      <alignment vertical="top" wrapText="1"/>
    </xf>
    <xf numFmtId="0" fontId="4" fillId="5" borderId="0" xfId="0" applyFont="1" applyFill="1" applyProtection="1"/>
    <xf numFmtId="0" fontId="4" fillId="5" borderId="0" xfId="0" applyFont="1" applyFill="1" applyBorder="1" applyProtection="1"/>
    <xf numFmtId="0" fontId="2" fillId="5" borderId="0" xfId="0" applyFont="1" applyFill="1" applyProtection="1"/>
    <xf numFmtId="0" fontId="0" fillId="5" borderId="0" xfId="0" applyFill="1" applyBorder="1" applyProtection="1"/>
    <xf numFmtId="0" fontId="1" fillId="5" borderId="0" xfId="0" applyFont="1" applyFill="1" applyBorder="1" applyAlignment="1" applyProtection="1">
      <alignment vertical="center" wrapText="1"/>
    </xf>
    <xf numFmtId="0" fontId="3" fillId="0" borderId="0" xfId="0" applyFont="1" applyProtection="1"/>
    <xf numFmtId="0" fontId="0" fillId="0" borderId="0" xfId="0" applyProtection="1"/>
    <xf numFmtId="16" fontId="4" fillId="5" borderId="0" xfId="0" applyNumberFormat="1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0" fontId="9" fillId="5" borderId="0" xfId="0" applyFont="1" applyFill="1" applyAlignment="1" applyProtection="1">
      <alignment vertical="center" wrapText="1"/>
    </xf>
    <xf numFmtId="0" fontId="3" fillId="5" borderId="0" xfId="0" applyFont="1" applyFill="1" applyProtection="1"/>
    <xf numFmtId="0" fontId="4" fillId="0" borderId="0" xfId="0" applyFont="1" applyProtection="1"/>
    <xf numFmtId="0" fontId="11" fillId="5" borderId="0" xfId="0" applyFont="1" applyFill="1" applyBorder="1" applyAlignment="1" applyProtection="1">
      <alignment vertical="center" wrapText="1"/>
    </xf>
    <xf numFmtId="0" fontId="0" fillId="5" borderId="0" xfId="0" applyFill="1" applyBorder="1" applyAlignment="1" applyProtection="1">
      <alignment vertical="top" wrapText="1"/>
    </xf>
    <xf numFmtId="0" fontId="12" fillId="0" borderId="0" xfId="0" applyFont="1" applyProtection="1"/>
    <xf numFmtId="0" fontId="13" fillId="11" borderId="1" xfId="0" applyFont="1" applyFill="1" applyBorder="1" applyProtection="1"/>
    <xf numFmtId="0" fontId="15" fillId="10" borderId="1" xfId="0" applyFont="1" applyFill="1" applyBorder="1" applyAlignment="1" applyProtection="1">
      <alignment horizontal="center"/>
    </xf>
    <xf numFmtId="0" fontId="10" fillId="10" borderId="1" xfId="0" applyFont="1" applyFill="1" applyBorder="1" applyAlignment="1" applyProtection="1">
      <alignment horizontal="center"/>
    </xf>
    <xf numFmtId="0" fontId="10" fillId="5" borderId="1" xfId="0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center"/>
    </xf>
    <xf numFmtId="0" fontId="0" fillId="5" borderId="0" xfId="0" applyNumberFormat="1" applyFill="1" applyProtection="1"/>
    <xf numFmtId="0" fontId="0" fillId="5" borderId="0" xfId="0" applyFill="1" applyBorder="1" applyAlignment="1" applyProtection="1">
      <alignment horizontal="center" vertical="top" wrapText="1"/>
    </xf>
    <xf numFmtId="0" fontId="13" fillId="11" borderId="31" xfId="0" applyFont="1" applyFill="1" applyBorder="1" applyProtection="1"/>
    <xf numFmtId="0" fontId="15" fillId="10" borderId="31" xfId="0" applyFont="1" applyFill="1" applyBorder="1" applyAlignment="1" applyProtection="1">
      <alignment horizontal="center"/>
    </xf>
    <xf numFmtId="0" fontId="10" fillId="10" borderId="31" xfId="0" applyFont="1" applyFill="1" applyBorder="1" applyAlignment="1" applyProtection="1">
      <alignment horizontal="center"/>
    </xf>
    <xf numFmtId="0" fontId="10" fillId="10" borderId="31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1" fillId="5" borderId="0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 vertical="top" wrapText="1"/>
    </xf>
    <xf numFmtId="0" fontId="0" fillId="5" borderId="0" xfId="0" applyFill="1" applyBorder="1" applyAlignment="1" applyProtection="1">
      <alignment horizontal="left" vertical="top" wrapText="1"/>
    </xf>
    <xf numFmtId="0" fontId="25" fillId="5" borderId="1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/>
    </xf>
    <xf numFmtId="0" fontId="6" fillId="3" borderId="25" xfId="0" applyFont="1" applyFill="1" applyBorder="1" applyAlignment="1" applyProtection="1">
      <alignment horizontal="center"/>
    </xf>
    <xf numFmtId="0" fontId="5" fillId="5" borderId="23" xfId="0" applyFont="1" applyFill="1" applyBorder="1" applyAlignment="1" applyProtection="1">
      <alignment horizontal="center" vertical="center"/>
    </xf>
    <xf numFmtId="0" fontId="5" fillId="5" borderId="30" xfId="0" applyFont="1" applyFill="1" applyBorder="1" applyAlignment="1" applyProtection="1">
      <alignment horizontal="center" vertical="center"/>
    </xf>
    <xf numFmtId="0" fontId="5" fillId="5" borderId="25" xfId="0" applyFont="1" applyFill="1" applyBorder="1" applyAlignment="1" applyProtection="1">
      <alignment horizontal="center" vertical="center"/>
    </xf>
    <xf numFmtId="0" fontId="9" fillId="10" borderId="23" xfId="0" applyFont="1" applyFill="1" applyBorder="1" applyAlignment="1" applyProtection="1">
      <alignment horizontal="left"/>
    </xf>
    <xf numFmtId="0" fontId="9" fillId="10" borderId="30" xfId="0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horizontal="center"/>
      <protection locked="0"/>
    </xf>
    <xf numFmtId="12" fontId="14" fillId="4" borderId="1" xfId="0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</xf>
    <xf numFmtId="0" fontId="9" fillId="10" borderId="23" xfId="0" applyFont="1" applyFill="1" applyBorder="1" applyAlignment="1" applyProtection="1">
      <alignment horizontal="center"/>
    </xf>
    <xf numFmtId="0" fontId="9" fillId="10" borderId="25" xfId="0" applyFont="1" applyFill="1" applyBorder="1" applyAlignment="1" applyProtection="1">
      <alignment horizontal="center"/>
    </xf>
    <xf numFmtId="0" fontId="14" fillId="5" borderId="1" xfId="0" applyFont="1" applyFill="1" applyBorder="1" applyAlignment="1" applyProtection="1">
      <alignment horizontal="center"/>
    </xf>
    <xf numFmtId="0" fontId="9" fillId="10" borderId="1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9" fillId="10" borderId="23" xfId="0" applyFont="1" applyFill="1" applyBorder="1" applyAlignment="1" applyProtection="1">
      <alignment horizontal="left" vertical="center"/>
    </xf>
    <xf numFmtId="0" fontId="9" fillId="10" borderId="25" xfId="0" applyFont="1" applyFill="1" applyBorder="1" applyAlignment="1" applyProtection="1">
      <alignment horizontal="left" vertical="center"/>
    </xf>
    <xf numFmtId="0" fontId="9" fillId="10" borderId="25" xfId="0" applyFont="1" applyFill="1" applyBorder="1" applyAlignment="1" applyProtection="1">
      <alignment horizontal="left"/>
    </xf>
    <xf numFmtId="0" fontId="8" fillId="10" borderId="23" xfId="0" applyFont="1" applyFill="1" applyBorder="1" applyAlignment="1" applyProtection="1">
      <alignment horizontal="center"/>
    </xf>
    <xf numFmtId="0" fontId="8" fillId="10" borderId="30" xfId="0" applyFont="1" applyFill="1" applyBorder="1" applyAlignment="1" applyProtection="1">
      <alignment horizontal="center"/>
    </xf>
    <xf numFmtId="0" fontId="1" fillId="10" borderId="23" xfId="0" applyFont="1" applyFill="1" applyBorder="1" applyAlignment="1" applyProtection="1">
      <alignment horizontal="center"/>
    </xf>
    <xf numFmtId="0" fontId="1" fillId="10" borderId="25" xfId="0" applyFont="1" applyFill="1" applyBorder="1" applyAlignment="1" applyProtection="1">
      <alignment horizontal="center"/>
    </xf>
    <xf numFmtId="0" fontId="29" fillId="5" borderId="0" xfId="1" applyFont="1" applyFill="1" applyAlignment="1" applyProtection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0" fillId="5" borderId="32" xfId="0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left" vertical="center"/>
    </xf>
    <xf numFmtId="0" fontId="9" fillId="10" borderId="28" xfId="0" applyFont="1" applyFill="1" applyBorder="1" applyAlignment="1">
      <alignment horizontal="left" vertical="center"/>
    </xf>
    <xf numFmtId="0" fontId="26" fillId="5" borderId="34" xfId="0" applyFont="1" applyFill="1" applyBorder="1" applyAlignment="1">
      <alignment horizontal="right" vertical="center"/>
    </xf>
    <xf numFmtId="0" fontId="26" fillId="5" borderId="0" xfId="0" applyFont="1" applyFill="1" applyBorder="1" applyAlignment="1">
      <alignment horizontal="right" vertical="center"/>
    </xf>
    <xf numFmtId="0" fontId="26" fillId="5" borderId="0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5" borderId="0" xfId="0" applyFont="1" applyFill="1" applyAlignment="1">
      <alignment horizontal="left" wrapText="1"/>
    </xf>
    <xf numFmtId="0" fontId="0" fillId="5" borderId="0" xfId="0" applyFill="1" applyBorder="1" applyAlignment="1">
      <alignment horizontal="center" vertical="center"/>
    </xf>
    <xf numFmtId="0" fontId="14" fillId="0" borderId="33" xfId="0" applyFont="1" applyFill="1" applyBorder="1" applyAlignment="1" applyProtection="1">
      <alignment horizontal="center"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8" fillId="14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27" fillId="5" borderId="0" xfId="1" applyFont="1" applyFill="1" applyAlignment="1" applyProtection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29" fillId="5" borderId="0" xfId="1" applyFont="1" applyFill="1" applyAlignment="1" applyProtection="1">
      <alignment wrapText="1"/>
    </xf>
    <xf numFmtId="0" fontId="1" fillId="5" borderId="23" xfId="0" applyFont="1" applyFill="1" applyBorder="1" applyAlignment="1">
      <alignment horizontal="left"/>
    </xf>
    <xf numFmtId="0" fontId="1" fillId="5" borderId="30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left"/>
    </xf>
    <xf numFmtId="0" fontId="23" fillId="5" borderId="0" xfId="0" applyFont="1" applyFill="1" applyBorder="1" applyAlignment="1">
      <alignment horizontal="center" vertical="center" wrapText="1"/>
    </xf>
    <xf numFmtId="0" fontId="27" fillId="0" borderId="0" xfId="1" applyFont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73">
    <dxf>
      <fill>
        <patternFill patternType="lightGray"/>
      </fill>
    </dxf>
    <dxf>
      <fill>
        <patternFill patternType="lightGray"/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lightGray"/>
      </fill>
    </dxf>
    <dxf>
      <font>
        <color theme="8" tint="-0.24994659260841701"/>
      </font>
      <fill>
        <patternFill>
          <bgColor theme="8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Gray"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lightGray"/>
      </fill>
    </dxf>
    <dxf>
      <font>
        <color theme="8" tint="-0.24994659260841701"/>
      </font>
      <fill>
        <patternFill>
          <bgColor theme="8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Gray"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lightGray"/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</border>
    </dxf>
    <dxf>
      <font>
        <color theme="8" tint="-0.24994659260841701"/>
      </font>
      <fill>
        <patternFill>
          <bgColor theme="8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Gray"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ill>
        <patternFill patternType="lightGray">
          <bgColor auto="1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87638</xdr:colOff>
      <xdr:row>6</xdr:row>
      <xdr:rowOff>211666</xdr:rowOff>
    </xdr:from>
    <xdr:to>
      <xdr:col>15</xdr:col>
      <xdr:colOff>975667</xdr:colOff>
      <xdr:row>12</xdr:row>
      <xdr:rowOff>52917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7721" y="1566333"/>
          <a:ext cx="2285029" cy="11853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105842</xdr:colOff>
      <xdr:row>15</xdr:row>
      <xdr:rowOff>163530</xdr:rowOff>
    </xdr:from>
    <xdr:to>
      <xdr:col>15</xdr:col>
      <xdr:colOff>963092</xdr:colOff>
      <xdr:row>26</xdr:row>
      <xdr:rowOff>23289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15925" y="3486697"/>
          <a:ext cx="2254250" cy="22833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96543</xdr:colOff>
      <xdr:row>4</xdr:row>
      <xdr:rowOff>63502</xdr:rowOff>
    </xdr:from>
    <xdr:to>
      <xdr:col>15</xdr:col>
      <xdr:colOff>308632</xdr:colOff>
      <xdr:row>15</xdr:row>
      <xdr:rowOff>113244</xdr:rowOff>
    </xdr:to>
    <xdr:pic>
      <xdr:nvPicPr>
        <xdr:cNvPr id="1025" name="Pictur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753460" y="867835"/>
          <a:ext cx="1852504" cy="2254251"/>
        </a:xfrm>
        <a:prstGeom prst="rect">
          <a:avLst/>
        </a:prstGeom>
        <a:noFill/>
        <a:ln>
          <a:solidFill>
            <a:sysClr val="windowText" lastClr="000000"/>
          </a:solidFill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  <xdr:twoCellAnchor editAs="oneCell">
    <xdr:from>
      <xdr:col>12</xdr:col>
      <xdr:colOff>265658</xdr:colOff>
      <xdr:row>0</xdr:row>
      <xdr:rowOff>148167</xdr:rowOff>
    </xdr:from>
    <xdr:to>
      <xdr:col>15</xdr:col>
      <xdr:colOff>174670</xdr:colOff>
      <xdr:row>3</xdr:row>
      <xdr:rowOff>95377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2575" y="148167"/>
          <a:ext cx="1549427" cy="5515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133350</xdr:rowOff>
    </xdr:from>
    <xdr:to>
      <xdr:col>15</xdr:col>
      <xdr:colOff>118561</xdr:colOff>
      <xdr:row>3</xdr:row>
      <xdr:rowOff>80560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1825" y="133350"/>
          <a:ext cx="1547311" cy="547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57150</xdr:colOff>
      <xdr:row>4</xdr:row>
      <xdr:rowOff>57150</xdr:rowOff>
    </xdr:from>
    <xdr:to>
      <xdr:col>15</xdr:col>
      <xdr:colOff>274952</xdr:colOff>
      <xdr:row>15</xdr:row>
      <xdr:rowOff>85725</xdr:rowOff>
    </xdr:to>
    <xdr:pic>
      <xdr:nvPicPr>
        <xdr:cNvPr id="6" name="Picture 5" descr="NR3_34 copy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29425" y="847725"/>
          <a:ext cx="1856102" cy="2228850"/>
        </a:xfrm>
        <a:prstGeom prst="rect">
          <a:avLst/>
        </a:prstGeom>
        <a:ln cmpd="sng">
          <a:noFill/>
        </a:ln>
      </xdr:spPr>
    </xdr:pic>
    <xdr:clientData/>
  </xdr:twoCellAnchor>
  <xdr:twoCellAnchor editAs="oneCell">
    <xdr:from>
      <xdr:col>17</xdr:col>
      <xdr:colOff>113241</xdr:colOff>
      <xdr:row>49</xdr:row>
      <xdr:rowOff>458258</xdr:rowOff>
    </xdr:from>
    <xdr:to>
      <xdr:col>57</xdr:col>
      <xdr:colOff>171803</xdr:colOff>
      <xdr:row>50</xdr:row>
      <xdr:rowOff>1272</xdr:rowOff>
    </xdr:to>
    <xdr:pic>
      <xdr:nvPicPr>
        <xdr:cNvPr id="4" name="Picture 3" descr="Captur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971741" y="14279033"/>
          <a:ext cx="2524478" cy="1533739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133350</xdr:rowOff>
    </xdr:from>
    <xdr:to>
      <xdr:col>15</xdr:col>
      <xdr:colOff>118561</xdr:colOff>
      <xdr:row>3</xdr:row>
      <xdr:rowOff>80560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1825" y="133350"/>
          <a:ext cx="1547311" cy="547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113241</xdr:colOff>
      <xdr:row>49</xdr:row>
      <xdr:rowOff>458258</xdr:rowOff>
    </xdr:from>
    <xdr:to>
      <xdr:col>58</xdr:col>
      <xdr:colOff>171803</xdr:colOff>
      <xdr:row>50</xdr:row>
      <xdr:rowOff>1272</xdr:rowOff>
    </xdr:to>
    <xdr:pic>
      <xdr:nvPicPr>
        <xdr:cNvPr id="4" name="Picture 3" descr="Captur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19166" y="9888008"/>
          <a:ext cx="781403" cy="214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11</xdr:col>
      <xdr:colOff>390525</xdr:colOff>
      <xdr:row>4</xdr:row>
      <xdr:rowOff>171450</xdr:rowOff>
    </xdr:from>
    <xdr:to>
      <xdr:col>15</xdr:col>
      <xdr:colOff>333376</xdr:colOff>
      <xdr:row>16</xdr:row>
      <xdr:rowOff>9551</xdr:rowOff>
    </xdr:to>
    <xdr:pic>
      <xdr:nvPicPr>
        <xdr:cNvPr id="6" name="Picture 5" descr="600 qtr view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34175" y="971550"/>
          <a:ext cx="2009776" cy="2238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84042</xdr:colOff>
      <xdr:row>1</xdr:row>
      <xdr:rowOff>519953</xdr:rowOff>
    </xdr:from>
    <xdr:to>
      <xdr:col>0</xdr:col>
      <xdr:colOff>2661395</xdr:colOff>
      <xdr:row>1</xdr:row>
      <xdr:rowOff>1892676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042" y="3055284"/>
          <a:ext cx="2577353" cy="13727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28014</xdr:colOff>
      <xdr:row>2</xdr:row>
      <xdr:rowOff>770403</xdr:rowOff>
    </xdr:from>
    <xdr:to>
      <xdr:col>0</xdr:col>
      <xdr:colOff>2688713</xdr:colOff>
      <xdr:row>2</xdr:row>
      <xdr:rowOff>1583390</xdr:rowOff>
    </xdr:to>
    <xdr:pic>
      <xdr:nvPicPr>
        <xdr:cNvPr id="6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14" y="5841065"/>
          <a:ext cx="2660699" cy="8129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14008</xdr:colOff>
      <xdr:row>3</xdr:row>
      <xdr:rowOff>952500</xdr:rowOff>
    </xdr:from>
    <xdr:to>
      <xdr:col>0</xdr:col>
      <xdr:colOff>2679993</xdr:colOff>
      <xdr:row>3</xdr:row>
      <xdr:rowOff>1576667</xdr:rowOff>
    </xdr:to>
    <xdr:pic>
      <xdr:nvPicPr>
        <xdr:cNvPr id="61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08" y="8558493"/>
          <a:ext cx="2665985" cy="6241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140072</xdr:colOff>
      <xdr:row>4</xdr:row>
      <xdr:rowOff>233161</xdr:rowOff>
    </xdr:from>
    <xdr:to>
      <xdr:col>0</xdr:col>
      <xdr:colOff>2605366</xdr:colOff>
      <xdr:row>4</xdr:row>
      <xdr:rowOff>2260226</xdr:rowOff>
    </xdr:to>
    <xdr:pic>
      <xdr:nvPicPr>
        <xdr:cNvPr id="61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0072" y="10374485"/>
          <a:ext cx="2465294" cy="20270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42022</xdr:colOff>
      <xdr:row>5</xdr:row>
      <xdr:rowOff>686367</xdr:rowOff>
    </xdr:from>
    <xdr:to>
      <xdr:col>0</xdr:col>
      <xdr:colOff>2655537</xdr:colOff>
      <xdr:row>5</xdr:row>
      <xdr:rowOff>1810876</xdr:rowOff>
    </xdr:to>
    <xdr:pic>
      <xdr:nvPicPr>
        <xdr:cNvPr id="61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022" y="13363021"/>
          <a:ext cx="2613515" cy="11245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518274</xdr:colOff>
      <xdr:row>6</xdr:row>
      <xdr:rowOff>85050</xdr:rowOff>
    </xdr:from>
    <xdr:to>
      <xdr:col>0</xdr:col>
      <xdr:colOff>2213164</xdr:colOff>
      <xdr:row>6</xdr:row>
      <xdr:rowOff>2315275</xdr:rowOff>
    </xdr:to>
    <xdr:pic>
      <xdr:nvPicPr>
        <xdr:cNvPr id="615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18274" y="15297035"/>
          <a:ext cx="1694890" cy="2230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</xdr:row>
      <xdr:rowOff>942598</xdr:rowOff>
    </xdr:from>
    <xdr:to>
      <xdr:col>0</xdr:col>
      <xdr:colOff>2689412</xdr:colOff>
      <xdr:row>7</xdr:row>
      <xdr:rowOff>1755963</xdr:rowOff>
    </xdr:to>
    <xdr:pic>
      <xdr:nvPicPr>
        <xdr:cNvPr id="615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8689914"/>
          <a:ext cx="2689412" cy="8133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42021</xdr:colOff>
      <xdr:row>8</xdr:row>
      <xdr:rowOff>336185</xdr:rowOff>
    </xdr:from>
    <xdr:to>
      <xdr:col>0</xdr:col>
      <xdr:colOff>2686054</xdr:colOff>
      <xdr:row>8</xdr:row>
      <xdr:rowOff>2123523</xdr:rowOff>
    </xdr:to>
    <xdr:pic>
      <xdr:nvPicPr>
        <xdr:cNvPr id="615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021" y="20618832"/>
          <a:ext cx="2644033" cy="1787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42022</xdr:colOff>
      <xdr:row>9</xdr:row>
      <xdr:rowOff>672009</xdr:rowOff>
    </xdr:from>
    <xdr:to>
      <xdr:col>0</xdr:col>
      <xdr:colOff>2703420</xdr:colOff>
      <xdr:row>9</xdr:row>
      <xdr:rowOff>1887629</xdr:rowOff>
    </xdr:to>
    <xdr:pic>
      <xdr:nvPicPr>
        <xdr:cNvPr id="615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022" y="23489987"/>
          <a:ext cx="2661398" cy="1215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tent.zurn.com/web_documents/pdfs/specsheets/REG-NR3XL.pdf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content.zurn.com/web_documents/pdfs/specsheets/REG-500XL.pdf" TargetMode="External"/><Relationship Id="rId1" Type="http://schemas.openxmlformats.org/officeDocument/2006/relationships/hyperlink" Target="http://content.zurn.com/web_documents/pdfs/specsheets/REG-600XL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ntent.zurn.com/web_documents/pdfs/specsheets/REG-500XL.pdf" TargetMode="External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ontent.zurn.com/web_documents/pdfs/specsheets/REG-NR3XL.pdf" TargetMode="External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ontent.zurn.com/web_documents/pdfs/specsheets/REG-600XL.pdf" TargetMode="External"/><Relationship Id="rId5" Type="http://schemas.openxmlformats.org/officeDocument/2006/relationships/oleObject" Target="../embeddings/oleObject4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/>
  </sheetPr>
  <dimension ref="A1:AB32"/>
  <sheetViews>
    <sheetView tabSelected="1" zoomScaleNormal="100" workbookViewId="0">
      <selection activeCell="E8" sqref="E8:F8"/>
    </sheetView>
  </sheetViews>
  <sheetFormatPr defaultRowHeight="15"/>
  <cols>
    <col min="1" max="1" width="61.28515625" style="83" customWidth="1"/>
    <col min="2" max="2" width="1.7109375" style="83" customWidth="1"/>
    <col min="3" max="3" width="18.140625" style="83" customWidth="1"/>
    <col min="4" max="4" width="26.7109375" style="83" customWidth="1"/>
    <col min="5" max="5" width="10" style="83" customWidth="1"/>
    <col min="6" max="6" width="7.140625" style="83" customWidth="1"/>
    <col min="7" max="7" width="10.85546875" style="83" hidden="1" customWidth="1"/>
    <col min="8" max="8" width="17.5703125" style="83" hidden="1" customWidth="1"/>
    <col min="9" max="10" width="8.42578125" style="83" hidden="1" customWidth="1"/>
    <col min="11" max="11" width="12.28515625" style="83" hidden="1" customWidth="1"/>
    <col min="12" max="12" width="13.28515625" style="83" hidden="1" customWidth="1"/>
    <col min="13" max="13" width="2.85546875" style="83" customWidth="1"/>
    <col min="14" max="14" width="10.140625" style="83" customWidth="1"/>
    <col min="15" max="15" width="10.85546875" style="83" customWidth="1"/>
    <col min="16" max="16" width="19" style="83" customWidth="1"/>
    <col min="17" max="17" width="4.7109375" style="85" hidden="1" customWidth="1"/>
    <col min="18" max="18" width="10" style="85" hidden="1" customWidth="1"/>
    <col min="19" max="19" width="11" style="85" hidden="1" customWidth="1"/>
    <col min="20" max="20" width="10" style="85" hidden="1" customWidth="1"/>
    <col min="21" max="21" width="9" style="85" hidden="1" customWidth="1"/>
    <col min="22" max="22" width="8.42578125" style="85" hidden="1" customWidth="1"/>
    <col min="23" max="26" width="9.140625" style="83" hidden="1" customWidth="1"/>
    <col min="27" max="27" width="10.28515625" style="83" customWidth="1"/>
    <col min="28" max="16384" width="9.140625" style="83"/>
  </cols>
  <sheetData>
    <row r="1" spans="1:28" ht="15" customHeight="1">
      <c r="C1" s="113" t="s">
        <v>42</v>
      </c>
      <c r="D1" s="113"/>
      <c r="E1" s="113"/>
      <c r="F1" s="113"/>
      <c r="G1" s="84"/>
      <c r="H1" s="84"/>
      <c r="I1" s="84"/>
      <c r="J1" s="84"/>
      <c r="K1" s="84"/>
      <c r="L1" s="84"/>
      <c r="M1" s="84"/>
      <c r="W1" s="85"/>
    </row>
    <row r="2" spans="1:28">
      <c r="B2" s="84"/>
      <c r="C2" s="113"/>
      <c r="D2" s="113"/>
      <c r="E2" s="113"/>
      <c r="F2" s="113"/>
      <c r="G2" s="84"/>
      <c r="H2" s="84"/>
      <c r="I2" s="84"/>
      <c r="J2" s="84"/>
      <c r="K2" s="84"/>
      <c r="L2" s="84"/>
      <c r="M2" s="84"/>
      <c r="W2" s="85"/>
    </row>
    <row r="3" spans="1:28">
      <c r="C3" s="113"/>
      <c r="D3" s="113"/>
      <c r="E3" s="113"/>
      <c r="F3" s="113"/>
      <c r="S3" s="86"/>
      <c r="T3" s="86"/>
      <c r="U3" s="86"/>
      <c r="W3" s="87"/>
    </row>
    <row r="4" spans="1:28" ht="18.75" customHeight="1">
      <c r="C4" s="84"/>
      <c r="D4" s="84"/>
      <c r="E4" s="84"/>
      <c r="F4" s="84"/>
      <c r="N4" s="88"/>
      <c r="R4" s="86" t="s">
        <v>26</v>
      </c>
      <c r="S4" s="86" t="s">
        <v>22</v>
      </c>
      <c r="T4" s="86">
        <f>IF(E22=R6,S6,T6)</f>
        <v>0</v>
      </c>
      <c r="U4" s="86"/>
      <c r="W4" s="87"/>
      <c r="X4" s="83" t="str">
        <f>IF(T4&gt;=X6,R15,"Valve Not Rated for Max Flow Entered")</f>
        <v>Valve Not Rated for Max Flow Entered</v>
      </c>
    </row>
    <row r="5" spans="1:28" ht="18.75" customHeight="1">
      <c r="N5" s="88"/>
      <c r="R5" s="86"/>
      <c r="S5" s="86"/>
      <c r="T5" s="86"/>
      <c r="U5" s="86"/>
      <c r="W5" s="87"/>
    </row>
    <row r="6" spans="1:28" ht="23.25">
      <c r="A6" s="89" t="s">
        <v>45</v>
      </c>
      <c r="C6" s="120" t="s">
        <v>0</v>
      </c>
      <c r="D6" s="121"/>
      <c r="E6" s="121"/>
      <c r="F6" s="122"/>
      <c r="G6" s="90"/>
      <c r="H6" s="91"/>
      <c r="I6" s="90"/>
      <c r="J6" s="91"/>
      <c r="K6" s="91"/>
      <c r="L6" s="91"/>
      <c r="N6" s="88"/>
      <c r="Q6" s="85">
        <f>IF(E21&gt;30,0,1)</f>
        <v>1</v>
      </c>
      <c r="R6" s="92" t="s">
        <v>6</v>
      </c>
      <c r="S6" s="93">
        <v>1</v>
      </c>
      <c r="T6" s="86">
        <f>IF(E22=R7,S7,T7)</f>
        <v>0</v>
      </c>
      <c r="U6" s="86">
        <v>20</v>
      </c>
      <c r="V6" s="85">
        <f>IF(E20&lt;=U6,0,1)</f>
        <v>0</v>
      </c>
      <c r="W6" s="85">
        <f>S6+V6</f>
        <v>1</v>
      </c>
      <c r="X6" s="83">
        <f t="shared" ref="X6:X13" si="0">IF(W6=S6,S6,X7)</f>
        <v>1</v>
      </c>
      <c r="Y6" s="83" t="str">
        <f t="shared" ref="Y6:Y13" si="1">IF(W6=S6,R6,Y7)</f>
        <v>1/2"</v>
      </c>
      <c r="AA6" s="94"/>
    </row>
    <row r="7" spans="1:28" ht="20.25" customHeight="1">
      <c r="A7" s="116" t="s">
        <v>77</v>
      </c>
      <c r="F7" s="95"/>
      <c r="G7" s="96"/>
      <c r="H7" s="96"/>
      <c r="I7" s="96"/>
      <c r="J7" s="96"/>
      <c r="K7" s="96"/>
      <c r="L7" s="96"/>
      <c r="Q7" s="85">
        <f>IF(T4&gt;5,1,0)</f>
        <v>0</v>
      </c>
      <c r="R7" s="93" t="s">
        <v>7</v>
      </c>
      <c r="S7" s="93">
        <v>2</v>
      </c>
      <c r="T7" s="86">
        <f>IF(E22=R8,S8,T8)</f>
        <v>0</v>
      </c>
      <c r="U7" s="86">
        <v>30</v>
      </c>
      <c r="V7" s="85">
        <f>IF(E20&lt;=U7,0,1)</f>
        <v>0</v>
      </c>
      <c r="W7" s="85">
        <f t="shared" ref="W7:W13" si="2">S7+V7</f>
        <v>2</v>
      </c>
      <c r="X7" s="83">
        <f t="shared" si="0"/>
        <v>2</v>
      </c>
      <c r="Y7" s="83" t="str">
        <f t="shared" si="1"/>
        <v>3/4"</v>
      </c>
      <c r="AA7" s="94"/>
    </row>
    <row r="8" spans="1:28" ht="18.75" customHeight="1">
      <c r="A8" s="116"/>
      <c r="C8" s="134" t="s">
        <v>14</v>
      </c>
      <c r="D8" s="135"/>
      <c r="E8" s="125"/>
      <c r="F8" s="125"/>
      <c r="G8" s="96"/>
      <c r="H8" s="96"/>
      <c r="I8" s="96"/>
      <c r="J8" s="96"/>
      <c r="K8" s="96"/>
      <c r="L8" s="96"/>
      <c r="M8" s="97"/>
      <c r="R8" s="93" t="s">
        <v>8</v>
      </c>
      <c r="S8" s="93">
        <v>3</v>
      </c>
      <c r="T8" s="86">
        <f>IF(E22=R9,S9,T9)</f>
        <v>0</v>
      </c>
      <c r="U8" s="86">
        <v>50</v>
      </c>
      <c r="V8" s="85">
        <f>IF(E20&lt;=U8,0,1)</f>
        <v>0</v>
      </c>
      <c r="W8" s="85">
        <f t="shared" si="2"/>
        <v>3</v>
      </c>
      <c r="X8" s="83">
        <f t="shared" si="0"/>
        <v>3</v>
      </c>
      <c r="Y8" s="83" t="str">
        <f t="shared" si="1"/>
        <v>1"</v>
      </c>
    </row>
    <row r="9" spans="1:28" ht="15.75">
      <c r="A9" s="116"/>
      <c r="C9" s="123" t="s">
        <v>15</v>
      </c>
      <c r="D9" s="136"/>
      <c r="E9" s="125"/>
      <c r="F9" s="125"/>
      <c r="G9" s="96" t="e">
        <f>ROUND(E8/E9,2)</f>
        <v>#DIV/0!</v>
      </c>
      <c r="H9" s="96"/>
      <c r="I9" s="96"/>
      <c r="J9" s="96"/>
      <c r="K9" s="96"/>
      <c r="L9" s="96"/>
      <c r="M9" s="85"/>
      <c r="Q9" s="85">
        <f>Q6+Q7</f>
        <v>1</v>
      </c>
      <c r="R9" s="93" t="s">
        <v>23</v>
      </c>
      <c r="S9" s="93">
        <v>4</v>
      </c>
      <c r="T9" s="86">
        <f>IF(E22=R10,S10,T10)</f>
        <v>0</v>
      </c>
      <c r="U9" s="86">
        <v>80</v>
      </c>
      <c r="V9" s="85">
        <f>IF(E20&lt;=U9,0,1)</f>
        <v>0</v>
      </c>
      <c r="W9" s="85">
        <f t="shared" si="2"/>
        <v>4</v>
      </c>
      <c r="X9" s="83">
        <f t="shared" si="0"/>
        <v>4</v>
      </c>
      <c r="Y9" s="83" t="str">
        <f t="shared" si="1"/>
        <v>1 1/4"</v>
      </c>
    </row>
    <row r="10" spans="1:28" ht="16.5" customHeight="1">
      <c r="A10" s="116"/>
      <c r="C10" s="123" t="s">
        <v>1</v>
      </c>
      <c r="D10" s="136"/>
      <c r="E10" s="130" t="str">
        <f>IF( E8=F7," ",IF(E9=F7," ",G9))</f>
        <v xml:space="preserve"> </v>
      </c>
      <c r="F10" s="130"/>
      <c r="G10" s="96"/>
      <c r="H10" s="96"/>
      <c r="I10" s="96"/>
      <c r="J10" s="96"/>
      <c r="K10" s="96"/>
      <c r="L10" s="96"/>
      <c r="M10" s="85"/>
      <c r="R10" s="93" t="s">
        <v>24</v>
      </c>
      <c r="S10" s="93">
        <v>5</v>
      </c>
      <c r="T10" s="86">
        <f>IF(E22=R11,S11,T11)</f>
        <v>0</v>
      </c>
      <c r="U10" s="86">
        <v>100</v>
      </c>
      <c r="V10" s="85">
        <f>IF(E20&lt;=U10,0,1)</f>
        <v>0</v>
      </c>
      <c r="W10" s="85">
        <f t="shared" si="2"/>
        <v>5</v>
      </c>
      <c r="X10" s="83">
        <f t="shared" si="0"/>
        <v>5</v>
      </c>
      <c r="Y10" s="83" t="str">
        <f t="shared" si="1"/>
        <v>1 1/2"</v>
      </c>
    </row>
    <row r="11" spans="1:28" ht="15" customHeight="1">
      <c r="A11" s="98" t="s">
        <v>43</v>
      </c>
      <c r="C11" s="137" t="e">
        <f>(G9^(1/4))</f>
        <v>#DIV/0!</v>
      </c>
      <c r="D11" s="138"/>
      <c r="E11" s="127"/>
      <c r="F11" s="127"/>
      <c r="G11" s="96" t="e">
        <f>IF(G9&lt;=4,ROUND(C11,0),ROUNDUP(C11,0))</f>
        <v>#DIV/0!</v>
      </c>
      <c r="H11" s="96" t="e">
        <f>C11</f>
        <v>#DIV/0!</v>
      </c>
      <c r="I11" s="96"/>
      <c r="J11" s="96"/>
      <c r="K11" s="96"/>
      <c r="L11" s="96"/>
      <c r="M11" s="85"/>
      <c r="R11" s="93" t="s">
        <v>11</v>
      </c>
      <c r="S11" s="93">
        <v>6</v>
      </c>
      <c r="T11" s="86">
        <f>IF(E22=R12,S12,T12)</f>
        <v>0</v>
      </c>
      <c r="U11" s="86">
        <v>160</v>
      </c>
      <c r="V11" s="85">
        <f>IF(E20&lt;=U11,0,1)</f>
        <v>0</v>
      </c>
      <c r="W11" s="85">
        <f t="shared" si="2"/>
        <v>6</v>
      </c>
      <c r="X11" s="83">
        <f t="shared" si="0"/>
        <v>6</v>
      </c>
      <c r="Y11" s="83" t="str">
        <f t="shared" si="1"/>
        <v>2"</v>
      </c>
    </row>
    <row r="12" spans="1:28" ht="18.75">
      <c r="A12" s="116" t="s">
        <v>50</v>
      </c>
      <c r="C12" s="132" t="str">
        <f>IF(E8=M6," ",IF(E9=I6," ",G12))</f>
        <v xml:space="preserve"> </v>
      </c>
      <c r="D12" s="133"/>
      <c r="E12" s="127"/>
      <c r="F12" s="127"/>
      <c r="G12" s="99" t="e">
        <f>IF(G9&gt;4,"Step Reduction is Needed","No Step Reduction is Needed")</f>
        <v>#DIV/0!</v>
      </c>
      <c r="H12" s="96"/>
      <c r="I12" s="96"/>
      <c r="J12" s="96"/>
      <c r="K12" s="96"/>
      <c r="L12" s="96"/>
      <c r="M12" s="85"/>
      <c r="R12" s="93" t="s">
        <v>25</v>
      </c>
      <c r="S12" s="93">
        <v>7</v>
      </c>
      <c r="T12" s="86">
        <f>IF(E22=R13,S13,T13)</f>
        <v>0</v>
      </c>
      <c r="U12" s="86">
        <v>225</v>
      </c>
      <c r="V12" s="85">
        <f>IF(E20&lt;=U12,0,1)</f>
        <v>0</v>
      </c>
      <c r="W12" s="85">
        <f t="shared" si="2"/>
        <v>7</v>
      </c>
      <c r="X12" s="83">
        <f t="shared" si="0"/>
        <v>7</v>
      </c>
      <c r="Y12" s="83" t="str">
        <f t="shared" si="1"/>
        <v>2 1/2"</v>
      </c>
    </row>
    <row r="13" spans="1:28" ht="17.25" customHeight="1">
      <c r="A13" s="116"/>
      <c r="C13" s="128" t="s">
        <v>36</v>
      </c>
      <c r="D13" s="129"/>
      <c r="E13" s="130">
        <f>IF( E8=F7,0,IF(E9=I6," ",G11))</f>
        <v>0</v>
      </c>
      <c r="F13" s="130"/>
      <c r="G13" s="96"/>
      <c r="H13" s="96" t="e">
        <f>IF(J13&gt;=E9,"Step Required","Step Required")</f>
        <v>#DIV/0!</v>
      </c>
      <c r="I13" s="96" t="e">
        <f>IF(H13="Step Required",J13,E9)</f>
        <v>#DIV/0!</v>
      </c>
      <c r="J13" s="96" t="e">
        <f>ROUNDUP(K13,0.5)</f>
        <v>#DIV/0!</v>
      </c>
      <c r="K13" s="91" t="e">
        <f>IF(L13&gt;125,125,L13)</f>
        <v>#DIV/0!</v>
      </c>
      <c r="L13" s="96" t="e">
        <f>IF(G12="Step Reduction is Needed",E8/((G9)^(1/G11)),E9)</f>
        <v>#DIV/0!</v>
      </c>
      <c r="M13" s="85"/>
      <c r="R13" s="93" t="s">
        <v>20</v>
      </c>
      <c r="S13" s="93">
        <v>8</v>
      </c>
      <c r="T13" s="86"/>
      <c r="U13" s="86">
        <v>300</v>
      </c>
      <c r="V13" s="85">
        <f>IF(E20&lt;=U13,0,1)</f>
        <v>0</v>
      </c>
      <c r="W13" s="85">
        <f t="shared" si="2"/>
        <v>8</v>
      </c>
      <c r="X13" s="83">
        <f t="shared" si="0"/>
        <v>8</v>
      </c>
      <c r="Y13" s="83" t="str">
        <f t="shared" si="1"/>
        <v>3"</v>
      </c>
    </row>
    <row r="14" spans="1:28" ht="15.75">
      <c r="A14" s="116"/>
      <c r="C14" s="100">
        <f>IF(E9=0,0,IF(E13&gt;=1,"First Step",0))</f>
        <v>0</v>
      </c>
      <c r="D14" s="101">
        <f>IF(E8=M6,0,IF(E9=0,0,IF(E14=0," ",IF(E14&lt;25,"Low Range",IF(E14&gt;=80,"High Range",H13)))))</f>
        <v>0</v>
      </c>
      <c r="E14" s="102">
        <f>IF(E8=M6,0,IF(E9=0,0,IF(E9=I6," ",I13)))</f>
        <v>0</v>
      </c>
      <c r="F14" s="103">
        <f>IF(E14=0,0,"(PSI)")</f>
        <v>0</v>
      </c>
      <c r="G14" s="96"/>
      <c r="H14" s="96" t="e">
        <f>IF(J14&gt;=E9,"Step Required","Step Not Required")</f>
        <v>#DIV/0!</v>
      </c>
      <c r="I14" s="96" t="e">
        <f>IF(H14="Step Required",J14,0)</f>
        <v>#DIV/0!</v>
      </c>
      <c r="J14" s="96" t="e">
        <f>ROUNDUP(L14,0)</f>
        <v>#DIV/0!</v>
      </c>
      <c r="K14" s="91"/>
      <c r="L14" s="96" t="e">
        <f>L13/((G9)^(1/G11))</f>
        <v>#DIV/0!</v>
      </c>
      <c r="M14" s="85"/>
      <c r="R14" s="86"/>
      <c r="S14" s="86"/>
      <c r="T14" s="86"/>
      <c r="U14" s="86"/>
      <c r="W14" s="87"/>
      <c r="X14" s="83">
        <v>10</v>
      </c>
      <c r="Y14" s="83" t="s">
        <v>37</v>
      </c>
    </row>
    <row r="15" spans="1:28" ht="15.75" customHeight="1">
      <c r="A15" s="115" t="s">
        <v>44</v>
      </c>
      <c r="C15" s="100">
        <f>IF(E9=0,0,IF(E13&gt;=2,"Second Step",0))</f>
        <v>0</v>
      </c>
      <c r="D15" s="101">
        <f>IF(E8=0,0,IF(E10=" ",0,IF(E15=0,0,IF(E15&lt;25,"Low Range",IF(E15&gt;=80,"High Range",H14)))))</f>
        <v>0</v>
      </c>
      <c r="E15" s="102">
        <f>IF( E8=M6,0,IF(E9=0,0,IF(E9=I6," ",I14)))</f>
        <v>0</v>
      </c>
      <c r="F15" s="103">
        <f t="shared" ref="F15:F16" si="3">IF(E15=0,0,"(PSI)")</f>
        <v>0</v>
      </c>
      <c r="G15" s="96"/>
      <c r="H15" s="96" t="e">
        <f>IF(J15&gt;=E9,"Step Required","Step Not Required")</f>
        <v>#DIV/0!</v>
      </c>
      <c r="I15" s="96" t="e">
        <f>IF(H15="Step Required",J15,0)</f>
        <v>#DIV/0!</v>
      </c>
      <c r="J15" s="96" t="e">
        <f>ROUNDUP(L15,0)</f>
        <v>#DIV/0!</v>
      </c>
      <c r="K15" s="91"/>
      <c r="L15" s="96" t="e">
        <f>L14/((G9)^(1/G11))</f>
        <v>#DIV/0!</v>
      </c>
      <c r="M15" s="85"/>
      <c r="R15" s="85" t="str">
        <f>IF(Q9=2,"Low Flow Bypass is Needed","No Low Flow Bypass is Needed")</f>
        <v>No Low Flow Bypass is Needed</v>
      </c>
      <c r="S15" s="86"/>
      <c r="T15" s="86"/>
      <c r="U15" s="86"/>
      <c r="W15" s="87"/>
    </row>
    <row r="16" spans="1:28" ht="15.75">
      <c r="A16" s="115"/>
      <c r="C16" s="100">
        <f>IF( E9=0,0,IF(E13&gt;=3,"Third Step",0))</f>
        <v>0</v>
      </c>
      <c r="D16" s="104">
        <f>IF(E8=0,0,IF(E10=" ",0,IF(E16=0,0,IF(E16&lt;25,"Low Range",IF(E16&gt;=80,"High Range",H15)))))</f>
        <v>0</v>
      </c>
      <c r="E16" s="102">
        <f>IF(E8=I6,0,IF(E9=0,0,IF(E9=I6," ",I15)))</f>
        <v>0</v>
      </c>
      <c r="F16" s="103">
        <f t="shared" si="3"/>
        <v>0</v>
      </c>
      <c r="G16" s="96"/>
      <c r="H16" s="96"/>
      <c r="I16" s="96"/>
      <c r="J16" s="96"/>
      <c r="K16" s="96"/>
      <c r="L16" s="96"/>
      <c r="M16" s="85"/>
      <c r="R16" s="86"/>
      <c r="S16" s="86"/>
      <c r="T16" s="86"/>
      <c r="U16" s="86"/>
      <c r="W16" s="85"/>
      <c r="AB16" s="105"/>
    </row>
    <row r="17" spans="1:26" ht="15.75">
      <c r="A17" s="106"/>
      <c r="C17" s="107"/>
      <c r="D17" s="108"/>
      <c r="E17" s="109"/>
      <c r="F17" s="110"/>
      <c r="G17" s="96"/>
      <c r="H17" s="96"/>
      <c r="I17" s="96"/>
      <c r="J17" s="96"/>
      <c r="K17" s="96"/>
      <c r="L17" s="96"/>
      <c r="M17" s="85"/>
      <c r="W17" s="85"/>
    </row>
    <row r="18" spans="1:26" ht="19.5" customHeight="1">
      <c r="A18" s="111" t="s">
        <v>46</v>
      </c>
      <c r="C18" s="120" t="s">
        <v>21</v>
      </c>
      <c r="D18" s="121"/>
      <c r="E18" s="121"/>
      <c r="F18" s="122"/>
      <c r="G18" s="96"/>
      <c r="H18" s="96"/>
      <c r="I18" s="96"/>
      <c r="J18" s="96"/>
      <c r="K18" s="96"/>
      <c r="L18" s="96"/>
      <c r="M18" s="85"/>
      <c r="W18" s="85"/>
    </row>
    <row r="19" spans="1:26" ht="15.75" customHeight="1">
      <c r="A19" s="116" t="s">
        <v>47</v>
      </c>
      <c r="F19" s="85"/>
      <c r="G19" s="96"/>
      <c r="H19" s="96"/>
      <c r="I19" s="96"/>
      <c r="J19" s="96"/>
      <c r="K19" s="96"/>
      <c r="L19" s="96"/>
      <c r="M19" s="85"/>
      <c r="W19" s="85"/>
    </row>
    <row r="20" spans="1:26" ht="21.75" customHeight="1">
      <c r="A20" s="116"/>
      <c r="C20" s="123" t="s">
        <v>28</v>
      </c>
      <c r="D20" s="124"/>
      <c r="E20" s="125"/>
      <c r="F20" s="125"/>
      <c r="G20" s="96"/>
      <c r="H20" s="96"/>
      <c r="I20" s="96"/>
      <c r="J20" s="96"/>
      <c r="K20" s="96"/>
      <c r="L20" s="96"/>
      <c r="M20" s="94"/>
      <c r="W20" s="85"/>
    </row>
    <row r="21" spans="1:26" ht="18.75" customHeight="1">
      <c r="A21" s="98" t="s">
        <v>48</v>
      </c>
      <c r="C21" s="123" t="s">
        <v>27</v>
      </c>
      <c r="D21" s="124"/>
      <c r="E21" s="125"/>
      <c r="F21" s="125"/>
      <c r="G21" s="96"/>
      <c r="H21" s="96"/>
      <c r="I21" s="96"/>
      <c r="J21" s="96"/>
      <c r="K21" s="96"/>
      <c r="L21" s="96"/>
      <c r="M21" s="85"/>
      <c r="W21" s="85"/>
    </row>
    <row r="22" spans="1:26" ht="15.75">
      <c r="A22" s="115" t="s">
        <v>49</v>
      </c>
      <c r="C22" s="123" t="s">
        <v>38</v>
      </c>
      <c r="D22" s="124"/>
      <c r="E22" s="126"/>
      <c r="F22" s="126"/>
      <c r="G22" s="96"/>
      <c r="H22" s="96"/>
      <c r="I22" s="96"/>
      <c r="J22" s="96"/>
      <c r="K22" s="96"/>
      <c r="L22" s="96"/>
      <c r="M22" s="85"/>
      <c r="W22" s="85"/>
    </row>
    <row r="23" spans="1:26" ht="16.5" customHeight="1">
      <c r="A23" s="115"/>
      <c r="C23" s="139"/>
      <c r="D23" s="140"/>
      <c r="E23" s="127"/>
      <c r="F23" s="127"/>
      <c r="G23" s="90"/>
      <c r="H23" s="90"/>
      <c r="I23" s="91"/>
      <c r="J23" s="91"/>
      <c r="K23" s="91"/>
      <c r="L23" s="91"/>
      <c r="W23" s="85"/>
    </row>
    <row r="24" spans="1:26" ht="18.75">
      <c r="A24" s="116" t="s">
        <v>78</v>
      </c>
      <c r="C24" s="118" t="str">
        <f>IF(E20=Q3," ",IF(E22=Q3," ",X4))</f>
        <v xml:space="preserve"> </v>
      </c>
      <c r="D24" s="119"/>
      <c r="E24" s="127"/>
      <c r="F24" s="127"/>
      <c r="G24" s="90"/>
      <c r="H24" s="90"/>
      <c r="I24" s="91"/>
      <c r="J24" s="91"/>
      <c r="K24" s="91"/>
      <c r="L24" s="91"/>
      <c r="W24" s="85"/>
    </row>
    <row r="25" spans="1:26" ht="15.75">
      <c r="A25" s="116"/>
      <c r="C25" s="131" t="str">
        <f>IF(E25=" ","Possible Valves:", "Suggested Valve:")</f>
        <v>Possible Valves:</v>
      </c>
      <c r="D25" s="131"/>
      <c r="E25" s="117" t="str">
        <f>IF(C24="Valve Not Rated for Max Flow Entered",Y6," ")</f>
        <v xml:space="preserve"> </v>
      </c>
      <c r="F25" s="117"/>
      <c r="G25" s="90"/>
      <c r="H25" s="90"/>
      <c r="I25" s="91"/>
      <c r="J25" s="91"/>
      <c r="K25" s="91"/>
      <c r="L25" s="91"/>
      <c r="W25" s="85"/>
    </row>
    <row r="26" spans="1:26" ht="15.75">
      <c r="A26" s="116"/>
      <c r="C26" s="100" t="str">
        <f>IF(E25=" ",IF(E22=Q3," ","500XL")," ")</f>
        <v xml:space="preserve"> </v>
      </c>
      <c r="D26" s="101">
        <f>IF(E25=" ",IF(T4=R2,0,IF(T4&lt;=8,"Supplied In Size","Not Supplied In Size")),0)</f>
        <v>0</v>
      </c>
      <c r="E26" s="114">
        <f>IF(C26="500XL","SpecSheet",0)</f>
        <v>0</v>
      </c>
      <c r="F26" s="114"/>
      <c r="G26" s="112"/>
      <c r="H26" s="112"/>
      <c r="I26" s="112"/>
      <c r="J26" s="112"/>
      <c r="K26" s="112"/>
      <c r="L26" s="112"/>
      <c r="M26" s="88"/>
    </row>
    <row r="27" spans="1:26" ht="15.75">
      <c r="A27" s="116"/>
      <c r="C27" s="100" t="str">
        <f>IF(E25=" ",IF(E22=Q3," ","NR3XL")," ")</f>
        <v xml:space="preserve"> </v>
      </c>
      <c r="D27" s="101">
        <f>IF(E25=" ",IF(T4=R2,0,IF(T4&lt;=6,"Supplied In Size","Not Supplied In Size")),0)</f>
        <v>0</v>
      </c>
      <c r="E27" s="114">
        <f>IF(C27="NR3XL","SpecSheet",0)</f>
        <v>0</v>
      </c>
      <c r="F27" s="114"/>
      <c r="G27" s="112"/>
      <c r="H27" s="112"/>
      <c r="I27" s="112"/>
      <c r="J27" s="112"/>
      <c r="K27" s="112"/>
      <c r="L27" s="112"/>
      <c r="M27" s="88"/>
    </row>
    <row r="28" spans="1:26" ht="15.75">
      <c r="A28" s="116"/>
      <c r="C28" s="100" t="str">
        <f>IF(E25=" ",IF(E22=Q3," ","600XL")," ")</f>
        <v xml:space="preserve"> </v>
      </c>
      <c r="D28" s="101">
        <f>IF(E25=" ",IF(T4=R2,0,IF(T4&lt;=6,"Supplied In Size","Not Supplied In Size")),0)</f>
        <v>0</v>
      </c>
      <c r="E28" s="114">
        <f>IF(C28="600XL","SpecSheet",0)</f>
        <v>0</v>
      </c>
      <c r="F28" s="114"/>
      <c r="G28" s="112"/>
      <c r="H28" s="112"/>
      <c r="I28" s="112"/>
      <c r="J28" s="112"/>
      <c r="K28" s="112"/>
      <c r="L28" s="112"/>
      <c r="M28" s="88"/>
    </row>
    <row r="29" spans="1:26" ht="15.75">
      <c r="C29" s="100"/>
      <c r="D29" s="101"/>
      <c r="E29" s="114"/>
      <c r="F29" s="114"/>
      <c r="G29" s="112"/>
      <c r="H29" s="112"/>
      <c r="I29" s="112"/>
      <c r="J29" s="112"/>
      <c r="K29" s="112"/>
      <c r="L29" s="112"/>
      <c r="M29" s="88"/>
    </row>
    <row r="32" spans="1:26">
      <c r="Q32" s="96"/>
      <c r="R32" s="96"/>
      <c r="S32" s="96"/>
      <c r="T32" s="96"/>
      <c r="U32" s="96"/>
      <c r="V32" s="96"/>
      <c r="W32" s="91"/>
      <c r="X32" s="91"/>
      <c r="Y32" s="91"/>
      <c r="Z32" s="91"/>
    </row>
  </sheetData>
  <sheetProtection sheet="1" objects="1" scenarios="1"/>
  <dataConsolidate/>
  <mergeCells count="37">
    <mergeCell ref="E24:F24"/>
    <mergeCell ref="C13:D13"/>
    <mergeCell ref="E13:F13"/>
    <mergeCell ref="C25:D25"/>
    <mergeCell ref="E8:F8"/>
    <mergeCell ref="E9:F9"/>
    <mergeCell ref="E10:F10"/>
    <mergeCell ref="E11:F11"/>
    <mergeCell ref="C12:D12"/>
    <mergeCell ref="C8:D8"/>
    <mergeCell ref="C9:D9"/>
    <mergeCell ref="C10:D10"/>
    <mergeCell ref="C11:D11"/>
    <mergeCell ref="E12:F12"/>
    <mergeCell ref="C22:D22"/>
    <mergeCell ref="C23:D23"/>
    <mergeCell ref="E21:F21"/>
    <mergeCell ref="E22:F22"/>
    <mergeCell ref="E23:F23"/>
    <mergeCell ref="A7:A10"/>
    <mergeCell ref="A12:A14"/>
    <mergeCell ref="C1:F3"/>
    <mergeCell ref="E28:F28"/>
    <mergeCell ref="E29:F29"/>
    <mergeCell ref="A15:A16"/>
    <mergeCell ref="A19:A20"/>
    <mergeCell ref="A22:A23"/>
    <mergeCell ref="A24:A28"/>
    <mergeCell ref="E25:F25"/>
    <mergeCell ref="E26:F26"/>
    <mergeCell ref="E27:F27"/>
    <mergeCell ref="C24:D24"/>
    <mergeCell ref="C6:F6"/>
    <mergeCell ref="C20:D20"/>
    <mergeCell ref="C21:D21"/>
    <mergeCell ref="C18:F18"/>
    <mergeCell ref="E20:F20"/>
  </mergeCells>
  <conditionalFormatting sqref="C14:F17 C26:E29">
    <cfRule type="cellIs" dxfId="72" priority="25" operator="equal">
      <formula>0</formula>
    </cfRule>
  </conditionalFormatting>
  <conditionalFormatting sqref="E20:E22 E8:E9">
    <cfRule type="containsBlanks" dxfId="71" priority="28">
      <formula>LEN(TRIM(E8))=0</formula>
    </cfRule>
  </conditionalFormatting>
  <conditionalFormatting sqref="C26:E29">
    <cfRule type="containsBlanks" dxfId="70" priority="30">
      <formula>LEN(TRIM(C26))=0</formula>
    </cfRule>
  </conditionalFormatting>
  <conditionalFormatting sqref="D14:D17">
    <cfRule type="containsText" dxfId="69" priority="8" operator="containsText" text="Range">
      <formula>NOT(ISERROR(SEARCH("Range",D14)))</formula>
    </cfRule>
  </conditionalFormatting>
  <conditionalFormatting sqref="D26:E29">
    <cfRule type="containsText" dxfId="68" priority="7" operator="containsText" text="Not">
      <formula>NOT(ISERROR(SEARCH("Not",D26)))</formula>
    </cfRule>
  </conditionalFormatting>
  <conditionalFormatting sqref="E13:F13">
    <cfRule type="cellIs" dxfId="67" priority="4" operator="equal">
      <formula>0</formula>
    </cfRule>
  </conditionalFormatting>
  <conditionalFormatting sqref="E26:F29">
    <cfRule type="cellIs" dxfId="66" priority="1" operator="equal">
      <formula>0</formula>
    </cfRule>
  </conditionalFormatting>
  <dataValidations xWindow="673" yWindow="320" count="5">
    <dataValidation type="whole" allowBlank="1" showInputMessage="1" showErrorMessage="1" sqref="E21:F21">
      <formula1>0</formula1>
      <formula2>E20</formula2>
    </dataValidation>
    <dataValidation type="list" showInputMessage="1" showErrorMessage="1" promptTitle="pipe" sqref="E22">
      <formula1>pipe_size</formula1>
    </dataValidation>
    <dataValidation type="whole" allowBlank="1" showInputMessage="1" showErrorMessage="1" sqref="E20">
      <formula1>0</formula1>
      <formula2>300</formula2>
    </dataValidation>
    <dataValidation type="decimal" allowBlank="1" showInputMessage="1" showErrorMessage="1" error="Value Must Be Between 125-10_x000a_" sqref="E9:F9">
      <formula1>10</formula1>
      <formula2>125</formula2>
    </dataValidation>
    <dataValidation type="whole" allowBlank="1" showInputMessage="1" showErrorMessage="1" error="Value Must Be Between 300-1" promptTitle="PRV Pressure" prompt="When entering in values, please note:_x000a__x000a_Max working pressure for valves are 300 PSI with the exception of the NR3XL (1/2&quot;-1-1/4&quot;) with a working pressure of 400PSI" sqref="E8:F8">
      <formula1>0</formula1>
      <formula2>400</formula2>
    </dataValidation>
  </dataValidations>
  <hyperlinks>
    <hyperlink ref="C26" location="'500XL'!A1" display="'500XL'!A1"/>
    <hyperlink ref="C27" location="NR3XL!A1" display="NR3XL!A1"/>
    <hyperlink ref="C28" location="'600XL'!A1" display="'600XL'!A1"/>
    <hyperlink ref="E28" r:id="rId1" display="http://content.zurn.com/web_documents/pdfs/specsheets/REG-600XL.pdf"/>
    <hyperlink ref="E26" r:id="rId2" display="http://content.zurn.com/web_documents/pdfs/specsheets/REG-500XL.pdf"/>
    <hyperlink ref="E27" r:id="rId3" display="http://content.zurn.com/web_documents/pdfs/specsheets/REG-NR3XL.pdf"/>
  </hyperlinks>
  <pageMargins left="0.7" right="0.7" top="0.75" bottom="0.75" header="0.3" footer="0.3"/>
  <pageSetup scale="43" orientation="portrait" horizontalDpi="90" verticalDpi="90" r:id="rId4"/>
  <ignoredErrors>
    <ignoredError sqref="C11" evalError="1"/>
  </ignoredErrors>
  <drawing r:id="rId5"/>
  <legacyDrawing r:id="rId6"/>
  <oleObjects>
    <oleObject progId="PBrush" shapeId="1036" r:id="rId7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autoPageBreaks="0"/>
  </sheetPr>
  <dimension ref="A1:DD117"/>
  <sheetViews>
    <sheetView zoomScaleNormal="100" workbookViewId="0">
      <selection activeCell="K7" sqref="K7:K8"/>
    </sheetView>
  </sheetViews>
  <sheetFormatPr defaultRowHeight="15"/>
  <cols>
    <col min="1" max="1" width="6" style="30" customWidth="1"/>
    <col min="2" max="2" width="15" style="30" customWidth="1"/>
    <col min="3" max="3" width="6.42578125" style="30" customWidth="1"/>
    <col min="4" max="4" width="6.28515625" style="30" customWidth="1"/>
    <col min="5" max="5" width="6" style="30" customWidth="1"/>
    <col min="6" max="6" width="7.85546875" style="30" customWidth="1"/>
    <col min="7" max="8" width="8.140625" style="30" customWidth="1"/>
    <col min="9" max="9" width="2.7109375" style="30" customWidth="1"/>
    <col min="10" max="10" width="22.7109375" style="30" bestFit="1" customWidth="1"/>
    <col min="11" max="11" width="6.85546875" style="30" bestFit="1" customWidth="1"/>
    <col min="12" max="12" width="6.42578125" style="30" customWidth="1"/>
    <col min="13" max="13" width="6.7109375" style="30" customWidth="1"/>
    <col min="14" max="14" width="9.140625" style="30" customWidth="1"/>
    <col min="15" max="15" width="8.7109375" style="30" customWidth="1"/>
    <col min="16" max="16" width="6.7109375" style="30" customWidth="1"/>
    <col min="17" max="17" width="7.7109375" style="30" customWidth="1"/>
    <col min="18" max="18" width="7.140625" style="30" hidden="1" customWidth="1"/>
    <col min="19" max="19" width="7.42578125" style="30" hidden="1" customWidth="1"/>
    <col min="20" max="20" width="6.85546875" style="30" hidden="1" customWidth="1"/>
    <col min="21" max="21" width="7" style="30" hidden="1" customWidth="1"/>
    <col min="22" max="22" width="16" style="30" hidden="1" customWidth="1"/>
    <col min="23" max="23" width="6.140625" style="30" hidden="1" customWidth="1"/>
    <col min="24" max="24" width="5" style="30" hidden="1" customWidth="1"/>
    <col min="25" max="25" width="7.42578125" style="30" hidden="1" customWidth="1"/>
    <col min="26" max="26" width="6.5703125" style="30" hidden="1" customWidth="1"/>
    <col min="27" max="27" width="6.140625" style="30" hidden="1" customWidth="1"/>
    <col min="28" max="28" width="7" style="30" hidden="1" customWidth="1"/>
    <col min="29" max="29" width="6.140625" style="30" hidden="1" customWidth="1"/>
    <col min="30" max="30" width="10.42578125" style="30" hidden="1" customWidth="1"/>
    <col min="31" max="31" width="10.85546875" style="30" hidden="1" customWidth="1"/>
    <col min="32" max="33" width="5.5703125" style="30" hidden="1" customWidth="1"/>
    <col min="34" max="34" width="4.42578125" style="30" hidden="1" customWidth="1"/>
    <col min="35" max="36" width="7" style="30" hidden="1" customWidth="1"/>
    <col min="37" max="37" width="5.5703125" style="30" hidden="1" customWidth="1"/>
    <col min="38" max="38" width="7" style="30" hidden="1" customWidth="1"/>
    <col min="39" max="39" width="5.5703125" style="30" hidden="1" customWidth="1"/>
    <col min="40" max="40" width="10.85546875" style="30" hidden="1" customWidth="1"/>
    <col min="41" max="42" width="5.140625" style="30" hidden="1" customWidth="1"/>
    <col min="43" max="108" width="9.140625" style="30" hidden="1" customWidth="1"/>
    <col min="109" max="111" width="9.140625" style="30"/>
    <col min="112" max="112" width="8.42578125" style="30" bestFit="1" customWidth="1"/>
    <col min="113" max="16384" width="9.140625" style="30"/>
  </cols>
  <sheetData>
    <row r="1" spans="1:105" ht="15.95" customHeight="1" thickBot="1">
      <c r="A1" s="32"/>
      <c r="B1" s="32"/>
      <c r="C1" s="33"/>
      <c r="D1" s="33"/>
      <c r="E1" s="165" t="s">
        <v>65</v>
      </c>
      <c r="F1" s="165"/>
      <c r="G1" s="165"/>
      <c r="H1" s="165"/>
      <c r="I1" s="165"/>
      <c r="J1" s="165"/>
      <c r="K1" s="165"/>
      <c r="L1" s="165"/>
      <c r="M1" s="34"/>
      <c r="S1" s="31"/>
      <c r="T1" s="31"/>
      <c r="AF1" s="154" t="s">
        <v>29</v>
      </c>
      <c r="AG1" s="155"/>
      <c r="AH1" s="155"/>
      <c r="AI1" s="155"/>
      <c r="AJ1" s="155"/>
      <c r="AK1" s="155"/>
      <c r="AL1" s="155"/>
      <c r="AM1" s="156"/>
    </row>
    <row r="2" spans="1:105" ht="15.95" customHeight="1" thickBot="1">
      <c r="A2" s="32"/>
      <c r="B2" s="32"/>
      <c r="C2" s="33"/>
      <c r="D2" s="33"/>
      <c r="E2" s="165"/>
      <c r="F2" s="165"/>
      <c r="G2" s="165"/>
      <c r="H2" s="165"/>
      <c r="I2" s="165"/>
      <c r="J2" s="165"/>
      <c r="K2" s="165"/>
      <c r="L2" s="165"/>
      <c r="M2" s="34"/>
      <c r="S2" s="31"/>
      <c r="T2" s="31"/>
      <c r="AA2" s="30" t="s">
        <v>41</v>
      </c>
      <c r="AE2" s="41" t="s">
        <v>4</v>
      </c>
      <c r="AF2" s="42" t="s">
        <v>6</v>
      </c>
      <c r="AG2" s="42" t="s">
        <v>7</v>
      </c>
      <c r="AH2" s="42" t="s">
        <v>8</v>
      </c>
      <c r="AI2" s="42" t="s">
        <v>9</v>
      </c>
      <c r="AJ2" s="42" t="s">
        <v>10</v>
      </c>
      <c r="AK2" s="42" t="s">
        <v>11</v>
      </c>
      <c r="AL2" s="42" t="s">
        <v>19</v>
      </c>
      <c r="AM2" s="42" t="s">
        <v>20</v>
      </c>
      <c r="AN2" s="43" t="s">
        <v>4</v>
      </c>
    </row>
    <row r="3" spans="1:105" ht="15.95" customHeight="1">
      <c r="A3" s="32"/>
      <c r="B3" s="32"/>
      <c r="C3" s="33"/>
      <c r="D3" s="33"/>
      <c r="E3" s="165"/>
      <c r="F3" s="165"/>
      <c r="G3" s="165"/>
      <c r="H3" s="165"/>
      <c r="I3" s="165"/>
      <c r="J3" s="165"/>
      <c r="K3" s="165"/>
      <c r="L3" s="165"/>
      <c r="M3" s="34"/>
      <c r="S3" s="31"/>
      <c r="T3" s="31"/>
      <c r="Y3" s="30" t="s">
        <v>39</v>
      </c>
      <c r="Z3" s="30" t="s">
        <v>40</v>
      </c>
      <c r="AE3" s="44">
        <v>0</v>
      </c>
      <c r="AF3" s="45">
        <v>0</v>
      </c>
      <c r="AG3" s="46">
        <v>0</v>
      </c>
      <c r="AH3" s="46">
        <v>0</v>
      </c>
      <c r="AI3" s="46">
        <v>0</v>
      </c>
      <c r="AJ3" s="46">
        <v>0</v>
      </c>
      <c r="AK3" s="46">
        <v>0</v>
      </c>
      <c r="AL3" s="46">
        <v>0</v>
      </c>
      <c r="AM3" s="47">
        <v>0</v>
      </c>
      <c r="AN3" s="44">
        <v>0</v>
      </c>
    </row>
    <row r="4" spans="1:105" ht="15.95" customHeight="1">
      <c r="A4" s="32"/>
      <c r="B4" s="32"/>
      <c r="C4" s="33"/>
      <c r="D4" s="33"/>
      <c r="E4" s="165"/>
      <c r="F4" s="165"/>
      <c r="G4" s="165"/>
      <c r="H4" s="165"/>
      <c r="I4" s="165"/>
      <c r="J4" s="165"/>
      <c r="K4" s="165"/>
      <c r="L4" s="165"/>
      <c r="M4" s="34"/>
      <c r="S4" s="31"/>
      <c r="T4" s="31"/>
      <c r="Y4" s="30">
        <f>IF(K11=S32,0,AQ20)</f>
        <v>0</v>
      </c>
      <c r="Z4" s="30">
        <f>ROUND(K7-Z5-Z6,0)</f>
        <v>0</v>
      </c>
      <c r="AA4" s="30" t="e">
        <f>ROUND(IF(Y4=Y5,AQ16,AQ16),0)</f>
        <v>#DIV/0!</v>
      </c>
      <c r="AE4" s="44">
        <v>5</v>
      </c>
      <c r="AF4" s="48">
        <v>4</v>
      </c>
      <c r="AG4" s="23">
        <v>2.5</v>
      </c>
      <c r="AH4" s="23">
        <v>1.5</v>
      </c>
      <c r="AI4" s="23">
        <v>1</v>
      </c>
      <c r="AJ4" s="23">
        <v>1</v>
      </c>
      <c r="AK4" s="23">
        <v>1</v>
      </c>
      <c r="AL4" s="23">
        <v>0.5</v>
      </c>
      <c r="AM4" s="49">
        <v>0</v>
      </c>
      <c r="AN4" s="44">
        <v>5</v>
      </c>
    </row>
    <row r="5" spans="1:105" ht="15.95" customHeight="1">
      <c r="H5" s="34"/>
      <c r="I5" s="34"/>
      <c r="J5" s="34"/>
      <c r="K5" s="34"/>
      <c r="L5" s="34"/>
      <c r="M5" s="34"/>
      <c r="S5" s="31"/>
      <c r="T5" s="31"/>
      <c r="Y5" s="30">
        <f>IF(K11=S32,0,AQ19)</f>
        <v>0</v>
      </c>
      <c r="Z5" s="30">
        <f>ROUND(AS40,0)</f>
        <v>0</v>
      </c>
      <c r="AA5" s="30">
        <f>IF(Z5=0,0,ROUND(IF(Y5=" "," ",AR16),0))</f>
        <v>0</v>
      </c>
      <c r="AE5" s="44">
        <v>10</v>
      </c>
      <c r="AF5" s="48">
        <v>7</v>
      </c>
      <c r="AG5" s="23">
        <v>5</v>
      </c>
      <c r="AH5" s="23">
        <v>3.5</v>
      </c>
      <c r="AI5" s="23">
        <v>2.5</v>
      </c>
      <c r="AJ5" s="23">
        <v>1.5</v>
      </c>
      <c r="AK5" s="23">
        <v>1.5</v>
      </c>
      <c r="AL5" s="23">
        <v>1</v>
      </c>
      <c r="AM5" s="49">
        <v>0.5</v>
      </c>
      <c r="AN5" s="44">
        <v>10</v>
      </c>
    </row>
    <row r="6" spans="1:105" ht="15.95" customHeight="1">
      <c r="H6" s="31"/>
      <c r="I6" s="31"/>
      <c r="J6" s="31"/>
      <c r="K6" s="31"/>
      <c r="S6" s="31"/>
      <c r="T6" s="31"/>
      <c r="Y6" s="30">
        <f>AS18</f>
        <v>0</v>
      </c>
      <c r="Z6" s="30">
        <f>BB41</f>
        <v>0</v>
      </c>
      <c r="AA6" s="30">
        <f>ROUND(IF(Y6=0,0,AS16),0)</f>
        <v>0</v>
      </c>
      <c r="AE6" s="44">
        <v>15</v>
      </c>
      <c r="AF6" s="48">
        <v>12.5</v>
      </c>
      <c r="AG6" s="23">
        <v>8.5</v>
      </c>
      <c r="AH6" s="23">
        <v>5</v>
      </c>
      <c r="AI6" s="23">
        <v>3.5</v>
      </c>
      <c r="AJ6" s="23">
        <v>2</v>
      </c>
      <c r="AK6" s="23">
        <v>2</v>
      </c>
      <c r="AL6" s="23">
        <v>1.5</v>
      </c>
      <c r="AM6" s="49">
        <v>0.5</v>
      </c>
      <c r="AN6" s="44">
        <v>15</v>
      </c>
      <c r="DA6" s="30" t="s">
        <v>55</v>
      </c>
    </row>
    <row r="7" spans="1:105" ht="15.95" customHeight="1">
      <c r="A7" s="157" t="s">
        <v>59</v>
      </c>
      <c r="B7" s="157"/>
      <c r="C7" s="157"/>
      <c r="D7" s="157"/>
      <c r="E7" s="157"/>
      <c r="F7" s="157"/>
      <c r="G7" s="157"/>
      <c r="H7" s="157"/>
      <c r="I7" s="35"/>
      <c r="J7" s="146" t="s">
        <v>31</v>
      </c>
      <c r="K7" s="170"/>
      <c r="L7" s="158"/>
      <c r="S7" s="31"/>
      <c r="T7" s="31"/>
      <c r="AE7" s="44">
        <v>20</v>
      </c>
      <c r="AF7" s="48">
        <v>21</v>
      </c>
      <c r="AG7" s="23">
        <v>12.5</v>
      </c>
      <c r="AH7" s="23">
        <v>7</v>
      </c>
      <c r="AI7" s="23">
        <v>4.5</v>
      </c>
      <c r="AJ7" s="23">
        <v>3</v>
      </c>
      <c r="AK7" s="23">
        <v>2.5</v>
      </c>
      <c r="AL7" s="23">
        <v>1.5</v>
      </c>
      <c r="AM7" s="49">
        <v>1</v>
      </c>
      <c r="AN7" s="44">
        <v>20</v>
      </c>
    </row>
    <row r="8" spans="1:105" ht="15.95" customHeight="1">
      <c r="A8" s="157"/>
      <c r="B8" s="157"/>
      <c r="C8" s="157"/>
      <c r="D8" s="157"/>
      <c r="E8" s="157"/>
      <c r="F8" s="157"/>
      <c r="G8" s="157"/>
      <c r="H8" s="157"/>
      <c r="I8" s="35"/>
      <c r="J8" s="147"/>
      <c r="K8" s="170"/>
      <c r="L8" s="158"/>
      <c r="S8" s="31"/>
      <c r="T8" s="31"/>
      <c r="AE8" s="44">
        <v>25</v>
      </c>
      <c r="AF8" s="48"/>
      <c r="AG8" s="23">
        <v>17</v>
      </c>
      <c r="AH8" s="23">
        <v>9</v>
      </c>
      <c r="AI8" s="23">
        <v>5.5</v>
      </c>
      <c r="AJ8" s="23">
        <v>3.5</v>
      </c>
      <c r="AK8" s="23">
        <v>3</v>
      </c>
      <c r="AL8" s="23">
        <v>2</v>
      </c>
      <c r="AM8" s="49">
        <v>1</v>
      </c>
      <c r="AN8" s="44">
        <v>25</v>
      </c>
      <c r="DA8" s="30" t="s">
        <v>35</v>
      </c>
    </row>
    <row r="9" spans="1:105" ht="15.95" customHeight="1">
      <c r="A9" s="157"/>
      <c r="B9" s="157"/>
      <c r="C9" s="157"/>
      <c r="D9" s="157"/>
      <c r="E9" s="157"/>
      <c r="F9" s="157"/>
      <c r="G9" s="157"/>
      <c r="H9" s="157"/>
      <c r="I9" s="35"/>
      <c r="J9" s="146" t="s">
        <v>30</v>
      </c>
      <c r="K9" s="159"/>
      <c r="L9" s="143"/>
      <c r="S9" s="31"/>
      <c r="T9" s="31"/>
      <c r="Y9" s="30">
        <f>BM47</f>
        <v>0</v>
      </c>
      <c r="AE9" s="44">
        <v>30</v>
      </c>
      <c r="AF9" s="48"/>
      <c r="AG9" s="23">
        <v>23</v>
      </c>
      <c r="AH9" s="23">
        <v>11</v>
      </c>
      <c r="AI9" s="23">
        <v>7</v>
      </c>
      <c r="AJ9" s="23">
        <v>4</v>
      </c>
      <c r="AK9" s="23">
        <v>3.5</v>
      </c>
      <c r="AL9" s="23">
        <v>2</v>
      </c>
      <c r="AM9" s="49">
        <v>1</v>
      </c>
      <c r="AN9" s="44">
        <v>30</v>
      </c>
    </row>
    <row r="10" spans="1:105" ht="15.95" customHeight="1">
      <c r="A10" s="141" t="s">
        <v>60</v>
      </c>
      <c r="B10" s="141"/>
      <c r="C10" s="141"/>
      <c r="D10" s="141"/>
      <c r="E10" s="141"/>
      <c r="F10" s="141"/>
      <c r="G10" s="141"/>
      <c r="H10" s="141"/>
      <c r="I10" s="35"/>
      <c r="J10" s="147"/>
      <c r="K10" s="160"/>
      <c r="L10" s="143"/>
      <c r="S10" s="31"/>
      <c r="T10" s="31"/>
      <c r="AE10" s="44">
        <v>35</v>
      </c>
      <c r="AF10" s="48"/>
      <c r="AG10" s="23"/>
      <c r="AH10" s="23">
        <v>13</v>
      </c>
      <c r="AI10" s="23">
        <v>8</v>
      </c>
      <c r="AJ10" s="23">
        <v>5</v>
      </c>
      <c r="AK10" s="23">
        <v>4</v>
      </c>
      <c r="AL10" s="23">
        <v>2.5</v>
      </c>
      <c r="AM10" s="49">
        <v>1.5</v>
      </c>
      <c r="AN10" s="44">
        <v>35</v>
      </c>
    </row>
    <row r="11" spans="1:105" ht="15.95" customHeight="1">
      <c r="A11" s="141"/>
      <c r="B11" s="141"/>
      <c r="C11" s="141"/>
      <c r="D11" s="141"/>
      <c r="E11" s="141"/>
      <c r="F11" s="141"/>
      <c r="G11" s="141"/>
      <c r="H11" s="141"/>
      <c r="I11" s="36"/>
      <c r="J11" s="146" t="s">
        <v>32</v>
      </c>
      <c r="K11" s="159"/>
      <c r="L11" s="143"/>
      <c r="S11" s="31"/>
      <c r="T11" s="31"/>
      <c r="Y11" s="30" t="e">
        <f>IF(O26&lt;10,1,0)</f>
        <v>#DIV/0!</v>
      </c>
      <c r="AE11" s="44">
        <v>40</v>
      </c>
      <c r="AF11" s="48"/>
      <c r="AG11" s="23"/>
      <c r="AH11" s="23">
        <v>15</v>
      </c>
      <c r="AI11" s="23">
        <v>9.5</v>
      </c>
      <c r="AJ11" s="23">
        <v>6</v>
      </c>
      <c r="AK11" s="23">
        <v>4.5</v>
      </c>
      <c r="AL11" s="23">
        <v>3</v>
      </c>
      <c r="AM11" s="49">
        <v>1.5</v>
      </c>
      <c r="AN11" s="44">
        <v>40</v>
      </c>
    </row>
    <row r="12" spans="1:105" ht="15.95" customHeight="1">
      <c r="A12" s="141"/>
      <c r="B12" s="141"/>
      <c r="C12" s="141"/>
      <c r="D12" s="141"/>
      <c r="E12" s="141"/>
      <c r="F12" s="141"/>
      <c r="G12" s="141"/>
      <c r="H12" s="141"/>
      <c r="J12" s="147"/>
      <c r="K12" s="160"/>
      <c r="L12" s="143"/>
      <c r="S12" s="31"/>
      <c r="T12" s="31"/>
      <c r="Y12" s="30" t="e">
        <f>IF(O30&lt;10,1,0)</f>
        <v>#DIV/0!</v>
      </c>
      <c r="AE12" s="44">
        <v>45</v>
      </c>
      <c r="AF12" s="48"/>
      <c r="AG12" s="23"/>
      <c r="AH12" s="23">
        <v>18</v>
      </c>
      <c r="AI12" s="23">
        <v>10.5</v>
      </c>
      <c r="AJ12" s="23">
        <v>7</v>
      </c>
      <c r="AK12" s="23">
        <v>5</v>
      </c>
      <c r="AL12" s="23">
        <v>3</v>
      </c>
      <c r="AM12" s="49">
        <v>2</v>
      </c>
      <c r="AN12" s="44">
        <v>45</v>
      </c>
    </row>
    <row r="13" spans="1:105" ht="15.95" customHeight="1">
      <c r="A13" s="141" t="s">
        <v>80</v>
      </c>
      <c r="B13" s="141"/>
      <c r="C13" s="141"/>
      <c r="D13" s="141"/>
      <c r="E13" s="141"/>
      <c r="F13" s="141"/>
      <c r="G13" s="141"/>
      <c r="H13" s="141"/>
      <c r="J13" s="146" t="s">
        <v>33</v>
      </c>
      <c r="K13" s="159"/>
      <c r="L13" s="143"/>
      <c r="S13" s="31"/>
      <c r="T13" s="31"/>
      <c r="Y13" s="30" t="e">
        <f>Y12+Y9+Y11</f>
        <v>#DIV/0!</v>
      </c>
      <c r="AE13" s="44">
        <v>50</v>
      </c>
      <c r="AF13" s="48"/>
      <c r="AG13" s="23"/>
      <c r="AH13" s="23">
        <v>21</v>
      </c>
      <c r="AI13" s="23">
        <v>12.5</v>
      </c>
      <c r="AJ13" s="23">
        <v>7.5</v>
      </c>
      <c r="AK13" s="23">
        <v>5.5</v>
      </c>
      <c r="AL13" s="23">
        <v>3.5</v>
      </c>
      <c r="AM13" s="49">
        <v>2</v>
      </c>
      <c r="AN13" s="44">
        <v>50</v>
      </c>
    </row>
    <row r="14" spans="1:105" ht="15.95" customHeight="1">
      <c r="A14" s="141"/>
      <c r="B14" s="141"/>
      <c r="C14" s="141"/>
      <c r="D14" s="141"/>
      <c r="E14" s="141"/>
      <c r="F14" s="141"/>
      <c r="G14" s="141"/>
      <c r="H14" s="141"/>
      <c r="J14" s="147"/>
      <c r="K14" s="160"/>
      <c r="L14" s="143"/>
      <c r="S14" s="31"/>
      <c r="T14" s="31"/>
      <c r="AE14" s="44">
        <v>55</v>
      </c>
      <c r="AF14" s="48"/>
      <c r="AG14" s="23"/>
      <c r="AH14" s="23"/>
      <c r="AI14" s="23">
        <f>(AI13+AI15)/2</f>
        <v>13.25</v>
      </c>
      <c r="AJ14" s="23">
        <v>8.5</v>
      </c>
      <c r="AK14" s="23">
        <v>6</v>
      </c>
      <c r="AL14" s="23">
        <v>4</v>
      </c>
      <c r="AM14" s="49">
        <v>2</v>
      </c>
      <c r="AN14" s="44">
        <v>55</v>
      </c>
    </row>
    <row r="15" spans="1:105" ht="15.95" customHeight="1">
      <c r="A15" s="141"/>
      <c r="B15" s="141"/>
      <c r="C15" s="141"/>
      <c r="D15" s="141"/>
      <c r="E15" s="141"/>
      <c r="F15" s="141"/>
      <c r="G15" s="141"/>
      <c r="H15" s="141"/>
      <c r="J15" s="146" t="s">
        <v>34</v>
      </c>
      <c r="K15" s="159"/>
      <c r="L15" s="143"/>
      <c r="S15" s="31"/>
      <c r="T15" s="31"/>
      <c r="AE15" s="44">
        <v>60</v>
      </c>
      <c r="AF15" s="48"/>
      <c r="AG15" s="23"/>
      <c r="AH15" s="23"/>
      <c r="AI15" s="23">
        <v>14</v>
      </c>
      <c r="AJ15" s="23">
        <v>9.5</v>
      </c>
      <c r="AK15" s="23">
        <v>6.5</v>
      </c>
      <c r="AL15" s="23">
        <v>4</v>
      </c>
      <c r="AM15" s="49">
        <v>2.5</v>
      </c>
      <c r="AN15" s="44">
        <v>60</v>
      </c>
      <c r="AQ15" s="30">
        <f>IF(Y4=0,0,1)</f>
        <v>0</v>
      </c>
      <c r="AR15" s="30">
        <f>IF(Y5=0,0,1)</f>
        <v>0</v>
      </c>
      <c r="AS15" s="30">
        <f>IF(Y6=0,0,1)</f>
        <v>0</v>
      </c>
      <c r="AT15" s="30">
        <f>AQ15+AR15+AS15</f>
        <v>0</v>
      </c>
      <c r="AU15" s="30">
        <v>2</v>
      </c>
    </row>
    <row r="16" spans="1:105" ht="15.95" customHeight="1">
      <c r="A16" s="142" t="s">
        <v>57</v>
      </c>
      <c r="B16" s="142"/>
      <c r="C16" s="142"/>
      <c r="D16" s="142"/>
      <c r="E16" s="142"/>
      <c r="F16" s="142"/>
      <c r="G16" s="142"/>
      <c r="H16" s="142"/>
      <c r="J16" s="147"/>
      <c r="K16" s="160"/>
      <c r="L16" s="143"/>
      <c r="S16" s="31"/>
      <c r="T16" s="31"/>
      <c r="Y16" s="57" t="e">
        <f>IF(O22&gt;=10,1,0)</f>
        <v>#DIV/0!</v>
      </c>
      <c r="AE16" s="44">
        <v>65</v>
      </c>
      <c r="AF16" s="48"/>
      <c r="AG16" s="23"/>
      <c r="AH16" s="23"/>
      <c r="AI16" s="23">
        <f>(AI15+AI17)/2</f>
        <v>15.5</v>
      </c>
      <c r="AJ16" s="23">
        <v>10</v>
      </c>
      <c r="AK16" s="23">
        <v>7</v>
      </c>
      <c r="AL16" s="23">
        <v>4.5</v>
      </c>
      <c r="AM16" s="49">
        <v>2.5</v>
      </c>
      <c r="AN16" s="44">
        <v>65</v>
      </c>
      <c r="AQ16" s="50" t="e">
        <f>BM48-(K11/AT15)*(AT15-1)</f>
        <v>#DIV/0!</v>
      </c>
      <c r="AR16" s="50" t="e">
        <f>AQ16+K11/AT15</f>
        <v>#DIV/0!</v>
      </c>
      <c r="AS16" s="50" t="e">
        <f>AR16+K11/AT15</f>
        <v>#DIV/0!</v>
      </c>
    </row>
    <row r="17" spans="1:103" ht="15.95" customHeight="1">
      <c r="A17" s="141" t="s">
        <v>61</v>
      </c>
      <c r="B17" s="141"/>
      <c r="C17" s="141"/>
      <c r="D17" s="141"/>
      <c r="E17" s="141"/>
      <c r="F17" s="141"/>
      <c r="G17" s="141"/>
      <c r="H17" s="141"/>
      <c r="J17" s="148" t="s">
        <v>75</v>
      </c>
      <c r="K17" s="150" t="e">
        <f>Z30</f>
        <v>#DIV/0!</v>
      </c>
      <c r="L17" s="150"/>
      <c r="M17" s="59"/>
      <c r="N17" s="59"/>
      <c r="O17" s="59"/>
      <c r="P17" s="59"/>
      <c r="S17" s="31"/>
      <c r="T17" s="37"/>
      <c r="U17" s="38"/>
      <c r="Y17" s="57">
        <f>IF(O23&gt;10,4,0)</f>
        <v>0</v>
      </c>
      <c r="AE17" s="44">
        <v>70</v>
      </c>
      <c r="AF17" s="48"/>
      <c r="AG17" s="23"/>
      <c r="AH17" s="23"/>
      <c r="AI17" s="23">
        <v>17</v>
      </c>
      <c r="AJ17" s="23">
        <v>11</v>
      </c>
      <c r="AK17" s="23">
        <v>7.5</v>
      </c>
      <c r="AL17" s="23">
        <v>5</v>
      </c>
      <c r="AM17" s="49">
        <v>3</v>
      </c>
      <c r="AN17" s="44">
        <v>70</v>
      </c>
    </row>
    <row r="18" spans="1:103" ht="15.95" customHeight="1">
      <c r="A18" s="141"/>
      <c r="B18" s="141"/>
      <c r="C18" s="141"/>
      <c r="D18" s="141"/>
      <c r="E18" s="141"/>
      <c r="F18" s="141"/>
      <c r="G18" s="141"/>
      <c r="H18" s="141"/>
      <c r="J18" s="149"/>
      <c r="K18" s="150"/>
      <c r="L18" s="150"/>
      <c r="M18" s="59"/>
      <c r="N18" s="59"/>
      <c r="O18" s="59"/>
      <c r="P18" s="59"/>
      <c r="S18" s="31"/>
      <c r="T18" s="37"/>
      <c r="U18" s="38"/>
      <c r="Y18" s="57">
        <f>IF(O24&gt;10,6,0)</f>
        <v>0</v>
      </c>
      <c r="AE18" s="44">
        <v>75</v>
      </c>
      <c r="AF18" s="48"/>
      <c r="AG18" s="23"/>
      <c r="AH18" s="23"/>
      <c r="AI18" s="23">
        <f>(AI17+AI19)/2</f>
        <v>18.5</v>
      </c>
      <c r="AJ18" s="23">
        <v>12.5</v>
      </c>
      <c r="AK18" s="23">
        <v>8</v>
      </c>
      <c r="AL18" s="23">
        <v>5</v>
      </c>
      <c r="AM18" s="49">
        <v>3</v>
      </c>
      <c r="AN18" s="44">
        <v>75</v>
      </c>
      <c r="AQ18" s="30">
        <f>IF(Y4=AK2,AH2,AR18)</f>
        <v>0</v>
      </c>
      <c r="AR18" s="30">
        <f>IF(Y4=AL2,AI2,AS18)</f>
        <v>0</v>
      </c>
      <c r="AS18" s="30">
        <f>IF(Y4=AM2,AJ2,0)</f>
        <v>0</v>
      </c>
    </row>
    <row r="19" spans="1:103" ht="15.95" customHeight="1">
      <c r="A19" s="167" t="s">
        <v>62</v>
      </c>
      <c r="B19" s="167"/>
      <c r="C19" s="167"/>
      <c r="D19" s="167"/>
      <c r="E19" s="167"/>
      <c r="F19" s="167"/>
      <c r="G19" s="167"/>
      <c r="H19" s="167"/>
      <c r="J19" s="144" t="s">
        <v>89</v>
      </c>
      <c r="K19" s="145" t="s">
        <v>39</v>
      </c>
      <c r="L19" s="145"/>
      <c r="M19" s="161" t="s">
        <v>40</v>
      </c>
      <c r="N19" s="161"/>
      <c r="O19" s="162" t="s">
        <v>58</v>
      </c>
      <c r="P19" s="162"/>
      <c r="Q19" s="31"/>
      <c r="R19" s="31"/>
      <c r="S19" s="31"/>
      <c r="T19" s="31"/>
      <c r="Y19" s="57"/>
      <c r="AE19" s="44">
        <v>80</v>
      </c>
      <c r="AF19" s="48"/>
      <c r="AG19" s="23"/>
      <c r="AH19" s="23"/>
      <c r="AI19" s="23">
        <v>20</v>
      </c>
      <c r="AJ19" s="23">
        <v>13.5</v>
      </c>
      <c r="AK19" s="23">
        <v>8.5</v>
      </c>
      <c r="AL19" s="23">
        <v>5.5</v>
      </c>
      <c r="AM19" s="49">
        <v>3</v>
      </c>
      <c r="AN19" s="44">
        <v>80</v>
      </c>
      <c r="AQ19" s="30">
        <f>IF(AQ22="BPN",AK2,IF(AQ22=AM2,AK2,AQ18))</f>
        <v>0</v>
      </c>
    </row>
    <row r="20" spans="1:103" ht="15.95" customHeight="1">
      <c r="A20" s="167"/>
      <c r="B20" s="167"/>
      <c r="C20" s="167"/>
      <c r="D20" s="167"/>
      <c r="E20" s="167"/>
      <c r="F20" s="167"/>
      <c r="G20" s="167"/>
      <c r="H20" s="167"/>
      <c r="J20" s="144"/>
      <c r="K20" s="145"/>
      <c r="L20" s="145"/>
      <c r="M20" s="161"/>
      <c r="N20" s="161"/>
      <c r="O20" s="162"/>
      <c r="P20" s="162"/>
      <c r="Q20" s="31"/>
      <c r="R20" s="31"/>
      <c r="S20" s="31"/>
      <c r="T20" s="31"/>
      <c r="Y20" s="57" t="e">
        <f>IF(O26&gt;=10,1,0)</f>
        <v>#DIV/0!</v>
      </c>
      <c r="AE20" s="44">
        <v>85</v>
      </c>
      <c r="AF20" s="48"/>
      <c r="AG20" s="23"/>
      <c r="AH20" s="23"/>
      <c r="AI20" s="23"/>
      <c r="AJ20" s="23">
        <v>14</v>
      </c>
      <c r="AK20" s="23">
        <v>9</v>
      </c>
      <c r="AL20" s="23">
        <v>6</v>
      </c>
      <c r="AM20" s="49">
        <v>3.5</v>
      </c>
      <c r="AN20" s="44">
        <v>85</v>
      </c>
      <c r="AQ20" s="30" t="str">
        <f>IF(AQ22="BPN",AM2,AQ22)</f>
        <v>1/2"</v>
      </c>
    </row>
    <row r="21" spans="1:103" ht="15.95" customHeight="1">
      <c r="A21" s="141" t="s">
        <v>76</v>
      </c>
      <c r="B21" s="141"/>
      <c r="C21" s="141"/>
      <c r="D21" s="141"/>
      <c r="E21" s="141"/>
      <c r="F21" s="141"/>
      <c r="G21" s="141"/>
      <c r="H21" s="141"/>
      <c r="J21" s="169" t="s">
        <v>86</v>
      </c>
      <c r="K21" s="169"/>
      <c r="L21" s="169"/>
      <c r="M21" s="169"/>
      <c r="N21" s="169"/>
      <c r="O21" s="169"/>
      <c r="P21" s="169"/>
      <c r="Q21" s="31"/>
      <c r="R21" s="31"/>
      <c r="S21" s="31"/>
      <c r="Y21" s="57">
        <f>IF(O27&gt;10,4,0)</f>
        <v>0</v>
      </c>
      <c r="AE21" s="44">
        <v>90</v>
      </c>
      <c r="AF21" s="48"/>
      <c r="AG21" s="23"/>
      <c r="AH21" s="23"/>
      <c r="AI21" s="23"/>
      <c r="AJ21" s="23">
        <v>15.5</v>
      </c>
      <c r="AK21" s="23">
        <v>9.5</v>
      </c>
      <c r="AL21" s="23">
        <v>6</v>
      </c>
      <c r="AM21" s="49">
        <v>3.5</v>
      </c>
      <c r="AN21" s="44">
        <v>90</v>
      </c>
    </row>
    <row r="22" spans="1:103" ht="15.95" customHeight="1">
      <c r="A22" s="141"/>
      <c r="B22" s="141"/>
      <c r="C22" s="141"/>
      <c r="D22" s="141"/>
      <c r="E22" s="141"/>
      <c r="F22" s="141"/>
      <c r="G22" s="141"/>
      <c r="H22" s="141"/>
      <c r="J22" s="29" t="s">
        <v>92</v>
      </c>
      <c r="K22" s="27">
        <f>Y4</f>
        <v>0</v>
      </c>
      <c r="L22" s="25" t="s">
        <v>54</v>
      </c>
      <c r="M22" s="26">
        <f>Z4</f>
        <v>0</v>
      </c>
      <c r="N22" s="25" t="s">
        <v>53</v>
      </c>
      <c r="O22" s="28" t="e">
        <f>AA4</f>
        <v>#DIV/0!</v>
      </c>
      <c r="P22" s="25" t="s">
        <v>51</v>
      </c>
      <c r="R22" s="31"/>
      <c r="T22" s="31"/>
      <c r="V22" s="55"/>
      <c r="Y22" s="57">
        <f>IF(O28&gt;10,6,0)</f>
        <v>0</v>
      </c>
      <c r="AE22" s="44">
        <v>95</v>
      </c>
      <c r="AF22" s="48"/>
      <c r="AG22" s="23"/>
      <c r="AH22" s="23"/>
      <c r="AI22" s="23"/>
      <c r="AJ22" s="23">
        <v>18</v>
      </c>
      <c r="AK22" s="23">
        <v>10</v>
      </c>
      <c r="AL22" s="23">
        <v>6.5</v>
      </c>
      <c r="AM22" s="49">
        <v>3.5</v>
      </c>
      <c r="AN22" s="44">
        <v>95</v>
      </c>
      <c r="AP22" s="31"/>
      <c r="AQ22" s="30" t="str">
        <f>IF(AQ23&gt;=K7,AQ24,AR22)</f>
        <v>1/2"</v>
      </c>
      <c r="AR22" s="30" t="str">
        <f>IF(AR23&gt;=K7,AR24,AS22)</f>
        <v>3"</v>
      </c>
      <c r="AS22" s="30" t="str">
        <f>IF(AS23&gt;=K7,AS24,AT22)</f>
        <v>3"</v>
      </c>
      <c r="AT22" s="30" t="str">
        <f>IF(AT23&gt;=K7,AT24,AU22)</f>
        <v>BPN</v>
      </c>
      <c r="AU22" s="30" t="str">
        <f>IF(AU23&gt;=K7,AU24,AV22)</f>
        <v>BPN</v>
      </c>
      <c r="AV22" s="30" t="str">
        <f>IF(AV23&gt;=K7,AV24,AW22)</f>
        <v>BPN</v>
      </c>
      <c r="AW22" s="30" t="str">
        <f>IF(AW23&gt;=K7,AW24,AX22)</f>
        <v>BPN</v>
      </c>
      <c r="AX22" s="30" t="str">
        <f>IF(AX23&gt;=K7,AX24,AY22)</f>
        <v>BPN</v>
      </c>
      <c r="AY22" s="30" t="str">
        <f>IF(AY23&gt;=K7,AY24,AZ22)</f>
        <v>BPN</v>
      </c>
      <c r="AZ22" s="30" t="str">
        <f>IF(AZ23&gt;=K7,AZ24,BA22)</f>
        <v>BPN</v>
      </c>
      <c r="BA22" s="30" t="str">
        <f>IF(BA23&gt;=K7,BA24,BB22)</f>
        <v>BPN</v>
      </c>
      <c r="BB22" s="30" t="str">
        <f>IF(BB23&gt;=K7,BB24,BC22)</f>
        <v>BPN</v>
      </c>
      <c r="BC22" s="30" t="str">
        <f>IF(BC23&gt;=K7,BC24,BD22)</f>
        <v>BPN</v>
      </c>
      <c r="BD22" s="30" t="str">
        <f>IF(BD23&gt;=K7,BD24,BE22)</f>
        <v>BPN</v>
      </c>
      <c r="BE22" s="30" t="str">
        <f>IF(BE23&gt;=K7,BE24,BF22)</f>
        <v>BPN</v>
      </c>
      <c r="BF22" s="30" t="str">
        <f>IF(BF23&gt;=K7,BF24,BG22)</f>
        <v>BPN</v>
      </c>
      <c r="BG22" s="30" t="str">
        <f>IF(BG23&gt;=K7,BG24,BH22)</f>
        <v>BPN</v>
      </c>
      <c r="BH22" s="30" t="str">
        <f>IF(BH23&gt;=K7,BH24,BI22)</f>
        <v>BPN</v>
      </c>
      <c r="BI22" s="30" t="str">
        <f>IF(BI23&gt;=K7,BI24,BJ22)</f>
        <v>BPN</v>
      </c>
      <c r="BJ22" s="30" t="str">
        <f>IF(BJ23&gt;=K7,BJ24,BK22)</f>
        <v>BPN</v>
      </c>
      <c r="BK22" s="30" t="str">
        <f>IF(BK23&gt;=K7,BK24,BL22)</f>
        <v>BPN</v>
      </c>
      <c r="BL22" s="30" t="str">
        <f>IF(BL23&gt;=K7,BL24,BM22)</f>
        <v>BPN</v>
      </c>
      <c r="BM22" s="30" t="str">
        <f>IF(BM23&gt;=K7,BM24,BN22)</f>
        <v>BPN</v>
      </c>
      <c r="BN22" s="30" t="str">
        <f>IF(BN23&gt;=K7,BN24,BO22)</f>
        <v>BPN</v>
      </c>
      <c r="BO22" s="30" t="str">
        <f>IF(BO23&gt;=K7,BO24,BP22)</f>
        <v>BPN</v>
      </c>
      <c r="BP22" s="30" t="str">
        <f>IF(BP23&gt;=K7,BP24,BQ22)</f>
        <v>BPN</v>
      </c>
      <c r="BQ22" s="30" t="str">
        <f>IF(BQ23&gt;=K7,BQ24,BR22)</f>
        <v>BPN</v>
      </c>
      <c r="BR22" s="30" t="str">
        <f>IF(BR23&gt;=K7,BR24,BS22)</f>
        <v>BPN</v>
      </c>
      <c r="BS22" s="30" t="str">
        <f>IF(BS23&gt;=K7,BS24,BT22)</f>
        <v>BPN</v>
      </c>
      <c r="BT22" s="30" t="str">
        <f>IF(BT23&gt;=K7,BT24,BU22)</f>
        <v>BPN</v>
      </c>
      <c r="BU22" s="30" t="str">
        <f>IF(BU23&gt;=K7,BU24,BV22)</f>
        <v>BPN</v>
      </c>
      <c r="BV22" s="30" t="str">
        <f>IF(BV23&gt;=K7,BV24,BW22)</f>
        <v>BPN</v>
      </c>
      <c r="BW22" s="30" t="str">
        <f>IF(BW23&gt;=K7,BW24,BX22)</f>
        <v>BPN</v>
      </c>
      <c r="BX22" s="30" t="str">
        <f>IF(BX23&gt;=K7,BX24,BY22)</f>
        <v>BPN</v>
      </c>
      <c r="BY22" s="30" t="str">
        <f>IF(BY23&gt;=K7,BY24,BZ22)</f>
        <v>BPN</v>
      </c>
      <c r="BZ22" s="30" t="str">
        <f>IF(BZ23&gt;=K7,BZ24,CA22)</f>
        <v>BPN</v>
      </c>
      <c r="CA22" s="30" t="str">
        <f>IF(CA23&gt;=K7,CA24,CB22)</f>
        <v>BPN</v>
      </c>
      <c r="CB22" s="30" t="str">
        <f>IF(CB23&gt;=K7,CB24,CC22)</f>
        <v>BPN</v>
      </c>
      <c r="CC22" s="30" t="str">
        <f>IF(CC23&gt;=K7,CC24,CD22)</f>
        <v>BPN</v>
      </c>
      <c r="CD22" s="30" t="str">
        <f>IF(CD23&gt;=K7,CD24,CE22)</f>
        <v>BPN</v>
      </c>
      <c r="CE22" s="30" t="str">
        <f>IF(CE23&gt;K7,CE24,CF22)</f>
        <v>BPN</v>
      </c>
      <c r="CF22" s="30" t="str">
        <f>IF(CF23&gt;=K7,CF24,CG22)</f>
        <v>BPN</v>
      </c>
      <c r="CG22" s="30" t="str">
        <f>IF(CG23&gt;=K7,CG24,CH22)</f>
        <v>BPN</v>
      </c>
      <c r="CH22" s="30" t="str">
        <f>IF(CH23&gt;=K7,CH24,CI22)</f>
        <v>BPN</v>
      </c>
      <c r="CI22" s="30" t="str">
        <f>IF(CI23&gt;=K7,CI24,CJ22)</f>
        <v>BPN</v>
      </c>
      <c r="CJ22" s="30" t="str">
        <f>IF(CJ23&gt;=K7,CJ24,CK22)</f>
        <v>BPN</v>
      </c>
      <c r="CK22" s="30" t="str">
        <f>IF(CK23&gt;=K7,CK24,CL22)</f>
        <v>BPN</v>
      </c>
      <c r="CL22" s="30" t="str">
        <f>IF(CL23&gt;=K7,CL24,CM22)</f>
        <v>BPN</v>
      </c>
      <c r="CM22" s="30" t="str">
        <f>IF(CM23&gt;=K7,CM24,CN22)</f>
        <v>BPN</v>
      </c>
      <c r="CN22" s="30" t="str">
        <f>IF(CN23&gt;=K7,CN24,CO22)</f>
        <v>BPN</v>
      </c>
      <c r="CO22" s="30" t="str">
        <f>IF(CO23&gt;=K7,CO24,CP22)</f>
        <v>BPN</v>
      </c>
      <c r="CP22" s="30" t="str">
        <f>IF(CP23&gt;=K7,CP24,CQ22)</f>
        <v>BPN</v>
      </c>
      <c r="CQ22" s="30" t="str">
        <f>IF(CQ23&gt;=K7,CQ24,CR22)</f>
        <v>BPN</v>
      </c>
      <c r="CR22" s="30" t="str">
        <f>IF(CR23&gt;=K7,CR24,CS22)</f>
        <v>BPN</v>
      </c>
      <c r="CS22" s="30" t="str">
        <f>IF(CS23&gt;=K7,CS24,CT22)</f>
        <v>BPN</v>
      </c>
      <c r="CT22" s="30" t="str">
        <f>IF(CT23&gt;=K7,CT24,CU22)</f>
        <v>BPN</v>
      </c>
      <c r="CU22" s="30" t="str">
        <f>IF(CU23&gt;=K7,CU24,CV22)</f>
        <v>BPN</v>
      </c>
      <c r="CV22" s="30" t="str">
        <f>IF(CV23&gt;=K7,CV24,CW22)</f>
        <v>BPN</v>
      </c>
      <c r="CW22" s="30" t="str">
        <f>IF(CW23&gt;=K7,CW24,CX22)</f>
        <v>BPN</v>
      </c>
      <c r="CX22" s="30" t="str">
        <f>IF(CX23&gt;=K7,CX24,CY22)</f>
        <v>BPN</v>
      </c>
      <c r="CY22" s="30" t="str">
        <f>IF(CY23&gt;=K7,CY24,CY24)</f>
        <v>BPN</v>
      </c>
    </row>
    <row r="23" spans="1:103" ht="15.95" customHeight="1">
      <c r="A23" s="168" t="s">
        <v>109</v>
      </c>
      <c r="B23" s="168"/>
      <c r="C23" s="168"/>
      <c r="D23" s="168"/>
      <c r="E23" s="168"/>
      <c r="F23" s="168"/>
      <c r="G23" s="168"/>
      <c r="H23" s="168"/>
      <c r="J23" s="29" t="s">
        <v>94</v>
      </c>
      <c r="K23" s="27">
        <f>Y5</f>
        <v>0</v>
      </c>
      <c r="L23" s="25" t="s">
        <v>54</v>
      </c>
      <c r="M23" s="26">
        <f>Z5</f>
        <v>0</v>
      </c>
      <c r="N23" s="25" t="s">
        <v>53</v>
      </c>
      <c r="O23" s="28">
        <f>AA5</f>
        <v>0</v>
      </c>
      <c r="P23" s="25" t="s">
        <v>51</v>
      </c>
      <c r="R23" s="31"/>
      <c r="Y23" s="57"/>
      <c r="AE23" s="44">
        <v>100</v>
      </c>
      <c r="AF23" s="48"/>
      <c r="AG23" s="23"/>
      <c r="AH23" s="23"/>
      <c r="AI23" s="23"/>
      <c r="AJ23" s="23">
        <v>20</v>
      </c>
      <c r="AK23" s="23">
        <v>10.5</v>
      </c>
      <c r="AL23" s="23">
        <v>7</v>
      </c>
      <c r="AM23" s="49">
        <v>4</v>
      </c>
      <c r="AN23" s="44">
        <v>100</v>
      </c>
      <c r="AQ23" s="30">
        <v>0</v>
      </c>
      <c r="AR23" s="30">
        <v>5</v>
      </c>
      <c r="AS23" s="30">
        <v>10</v>
      </c>
      <c r="AT23" s="30">
        <v>15</v>
      </c>
      <c r="AU23" s="30">
        <v>20</v>
      </c>
      <c r="AV23" s="30">
        <v>25</v>
      </c>
      <c r="AW23" s="30">
        <v>30</v>
      </c>
      <c r="AX23" s="30">
        <v>35</v>
      </c>
      <c r="AY23" s="30">
        <v>40</v>
      </c>
      <c r="AZ23" s="30">
        <v>45</v>
      </c>
      <c r="BA23" s="30">
        <v>50</v>
      </c>
      <c r="BB23" s="30">
        <v>55</v>
      </c>
      <c r="BC23" s="30">
        <v>60</v>
      </c>
      <c r="BD23" s="30">
        <v>65</v>
      </c>
      <c r="BE23" s="30">
        <v>70</v>
      </c>
      <c r="BF23" s="30">
        <v>75</v>
      </c>
      <c r="BG23" s="30">
        <v>80</v>
      </c>
      <c r="BH23" s="30">
        <v>85</v>
      </c>
      <c r="BI23" s="30">
        <v>90</v>
      </c>
      <c r="BJ23" s="30">
        <v>95</v>
      </c>
      <c r="BK23" s="30">
        <v>100</v>
      </c>
      <c r="BL23" s="30">
        <v>105</v>
      </c>
      <c r="BM23" s="30">
        <v>110</v>
      </c>
      <c r="BN23" s="30">
        <v>115</v>
      </c>
      <c r="BO23" s="30">
        <v>120</v>
      </c>
      <c r="BP23" s="30">
        <v>125</v>
      </c>
      <c r="BQ23" s="30">
        <v>130</v>
      </c>
      <c r="BR23" s="30">
        <v>135</v>
      </c>
      <c r="BS23" s="30">
        <v>140</v>
      </c>
      <c r="BT23" s="30">
        <v>145</v>
      </c>
      <c r="BU23" s="30">
        <v>150</v>
      </c>
      <c r="BV23" s="30">
        <v>155</v>
      </c>
      <c r="BW23" s="30">
        <v>160</v>
      </c>
      <c r="BX23" s="30">
        <v>165</v>
      </c>
      <c r="BY23" s="30">
        <v>170</v>
      </c>
      <c r="BZ23" s="30">
        <v>175</v>
      </c>
      <c r="CA23" s="30">
        <v>180</v>
      </c>
      <c r="CB23" s="30">
        <v>185</v>
      </c>
      <c r="CC23" s="30">
        <v>190</v>
      </c>
      <c r="CD23" s="30">
        <v>195</v>
      </c>
      <c r="CE23" s="30">
        <v>200</v>
      </c>
      <c r="CF23" s="30">
        <v>205</v>
      </c>
      <c r="CG23" s="30">
        <v>210</v>
      </c>
      <c r="CH23" s="30">
        <v>215</v>
      </c>
      <c r="CI23" s="30">
        <v>220</v>
      </c>
      <c r="CJ23" s="30">
        <v>225</v>
      </c>
      <c r="CK23" s="30">
        <v>230</v>
      </c>
      <c r="CL23" s="30">
        <v>235</v>
      </c>
      <c r="CM23" s="30">
        <v>240</v>
      </c>
      <c r="CN23" s="30">
        <v>245</v>
      </c>
      <c r="CO23" s="30">
        <v>250</v>
      </c>
      <c r="CP23" s="30">
        <v>255</v>
      </c>
      <c r="CQ23" s="30">
        <v>260</v>
      </c>
      <c r="CR23" s="30">
        <v>265</v>
      </c>
      <c r="CS23" s="30">
        <v>270</v>
      </c>
      <c r="CT23" s="30">
        <v>275</v>
      </c>
      <c r="CU23" s="30">
        <v>280</v>
      </c>
      <c r="CV23" s="30">
        <v>285</v>
      </c>
      <c r="CW23" s="30">
        <v>290</v>
      </c>
      <c r="CX23" s="30">
        <v>295</v>
      </c>
      <c r="CY23" s="30">
        <v>300</v>
      </c>
    </row>
    <row r="24" spans="1:103" ht="15.95" customHeight="1">
      <c r="A24" s="168"/>
      <c r="B24" s="168"/>
      <c r="C24" s="168"/>
      <c r="D24" s="168"/>
      <c r="E24" s="168"/>
      <c r="F24" s="168"/>
      <c r="G24" s="168"/>
      <c r="H24" s="168"/>
      <c r="J24" s="29" t="s">
        <v>96</v>
      </c>
      <c r="K24" s="27">
        <f>Y6</f>
        <v>0</v>
      </c>
      <c r="L24" s="25" t="s">
        <v>54</v>
      </c>
      <c r="M24" s="26">
        <f>Z6</f>
        <v>0</v>
      </c>
      <c r="N24" s="25" t="s">
        <v>53</v>
      </c>
      <c r="O24" s="28">
        <f>AA6</f>
        <v>0</v>
      </c>
      <c r="P24" s="25" t="s">
        <v>51</v>
      </c>
      <c r="R24" s="31"/>
      <c r="Y24" s="57" t="e">
        <f>IF(O30&gt;=10,1,0)</f>
        <v>#DIV/0!</v>
      </c>
      <c r="AE24" s="44">
        <v>105</v>
      </c>
      <c r="AF24" s="48"/>
      <c r="AG24" s="23"/>
      <c r="AH24" s="23"/>
      <c r="AI24" s="23"/>
      <c r="AJ24" s="23"/>
      <c r="AK24" s="23">
        <v>11.5</v>
      </c>
      <c r="AL24" s="23">
        <v>7.5</v>
      </c>
      <c r="AM24" s="49">
        <v>4</v>
      </c>
      <c r="AN24" s="44">
        <v>105</v>
      </c>
      <c r="AP24" s="31"/>
      <c r="AQ24" s="30" t="str">
        <f>IF(AF3&lt;=K11,AF2,AQ25)</f>
        <v>1/2"</v>
      </c>
      <c r="AR24" s="30" t="str">
        <f>IF(AF4&lt;=K11,AF2,AR25)</f>
        <v>3"</v>
      </c>
      <c r="AS24" s="30" t="str">
        <f>IF(AF5&lt;=K11,AF2,AS25)</f>
        <v>3"</v>
      </c>
      <c r="AT24" s="30" t="str">
        <f>IF(AF6&lt;=K11,AF2,AT25)</f>
        <v>BPN</v>
      </c>
      <c r="AU24" s="30" t="str">
        <f>IF(AF7&lt;=K11,AF2,AU25)</f>
        <v>BPN</v>
      </c>
      <c r="AV24" s="30" t="str">
        <f>IF(AG8&lt;=K11,AG2,AV25)</f>
        <v>BPN</v>
      </c>
      <c r="AW24" s="30" t="str">
        <f>IF(AG9&lt;=K11,AG2,AW25)</f>
        <v>BPN</v>
      </c>
      <c r="AX24" s="30" t="str">
        <f>IF(AH10&lt;=K11,AH2,AX25)</f>
        <v>BPN</v>
      </c>
      <c r="AY24" s="30" t="str">
        <f>IF(AH11&lt;=K11,AH2,AY25)</f>
        <v>BPN</v>
      </c>
      <c r="AZ24" s="30" t="str">
        <f>IF(AH12&lt;=K11,AH2,AZ25)</f>
        <v>BPN</v>
      </c>
      <c r="BA24" s="30" t="str">
        <f>IF(AH13&lt;=K11,AH2,BA25)</f>
        <v>BPN</v>
      </c>
      <c r="BB24" s="30" t="str">
        <f>IF(AI14&lt;=K11,AI2,BB25)</f>
        <v>BPN</v>
      </c>
      <c r="BC24" s="30" t="str">
        <f>IF(AI15&lt;=K11,AI2,BC25)</f>
        <v>BPN</v>
      </c>
      <c r="BD24" s="30" t="str">
        <f>IF(AI16&lt;=K11,AI2,BD25)</f>
        <v>BPN</v>
      </c>
      <c r="BE24" s="30" t="str">
        <f>IF(AI17&lt;=K11,AI2,BE25)</f>
        <v>BPN</v>
      </c>
      <c r="BF24" s="30" t="str">
        <f>IF(AI18&lt;=K11,AI2,BF25)</f>
        <v>BPN</v>
      </c>
      <c r="BG24" s="30" t="str">
        <f>IF(AI19&lt;=K11,AI2,BG25)</f>
        <v>BPN</v>
      </c>
      <c r="BH24" s="30" t="str">
        <f>IF(AJ20&lt;=K11,AJ2,BH25)</f>
        <v>BPN</v>
      </c>
      <c r="BI24" s="30" t="str">
        <f>IF(AJ21&lt;=K11,AJ2,BI25)</f>
        <v>BPN</v>
      </c>
      <c r="BJ24" s="30" t="str">
        <f>IF(AJ22&lt;=K11,AJ2,BJ25)</f>
        <v>BPN</v>
      </c>
      <c r="BK24" s="30" t="str">
        <f>IF(AJ23&lt;=K11,AJ2,BK25)</f>
        <v>BPN</v>
      </c>
      <c r="BL24" s="30" t="str">
        <f>IF(AK24&lt;=K11,AK2,BL25)</f>
        <v>BPN</v>
      </c>
      <c r="BM24" s="30" t="str">
        <f>IF(AK25&lt;=K11,AK2,BM25)</f>
        <v>BPN</v>
      </c>
      <c r="BN24" s="30" t="str">
        <f>IF(AK26&lt;=K11,AK2,BN25)</f>
        <v>BPN</v>
      </c>
      <c r="BO24" s="30" t="str">
        <f>IF(AK27&lt;=K11,AK2,BO25)</f>
        <v>BPN</v>
      </c>
      <c r="BP24" s="30" t="str">
        <f>IF(AK28&lt;=K11,AK2,BP25)</f>
        <v>BPN</v>
      </c>
      <c r="BQ24" s="30" t="str">
        <f>IF(AK29&lt;=K11,AK2,BQ25)</f>
        <v>BPN</v>
      </c>
      <c r="BR24" s="30" t="str">
        <f>IF(AK30&lt;=K11,AK2,BR25)</f>
        <v>BPN</v>
      </c>
      <c r="BS24" s="30" t="str">
        <f>IF(AK31&lt;=K11,AK2,BS25)</f>
        <v>BPN</v>
      </c>
      <c r="BT24" s="30" t="str">
        <f>IF(AK32&lt;=K11,AK2,BT25)</f>
        <v>BPN</v>
      </c>
      <c r="BU24" s="30" t="str">
        <f>IF(AK33&lt;=K11,AK2,BU25)</f>
        <v>BPN</v>
      </c>
      <c r="BV24" s="30" t="str">
        <f>IF(AK34&lt;=K11,AK2,BV25)</f>
        <v>BPN</v>
      </c>
      <c r="BW24" s="30" t="str">
        <f>IF(AK35&lt;=K11,AK2,BW25)</f>
        <v>BPN</v>
      </c>
      <c r="BX24" s="30" t="str">
        <f>IF(AL36&lt;=K11,AL2,BX25)</f>
        <v>BPN</v>
      </c>
      <c r="BY24" s="30" t="str">
        <f>IF(AL37&lt;=K11,AL2,BY25)</f>
        <v>BPN</v>
      </c>
      <c r="BZ24" s="30" t="str">
        <f>IF(AL38&lt;=K11,AL2,BZ25)</f>
        <v>BPN</v>
      </c>
      <c r="CA24" s="30" t="str">
        <f>IF(AL39&lt;=K11,AL2,CA25)</f>
        <v>BPN</v>
      </c>
      <c r="CB24" s="30" t="str">
        <f>IF(AL40&lt;=K11,AL2,CB25)</f>
        <v>BPN</v>
      </c>
      <c r="CC24" s="30" t="str">
        <f>IF(AL41&lt;=K11,AL2,CC25)</f>
        <v>BPN</v>
      </c>
      <c r="CD24" s="30" t="str">
        <f>IF(AL42&lt;=K11,AL2,CD25)</f>
        <v>BPN</v>
      </c>
      <c r="CE24" s="30" t="str">
        <f>IF(AL43&lt;=K11,AL2,CE25)</f>
        <v>BPN</v>
      </c>
      <c r="CF24" s="30" t="str">
        <f>IF(AL44&lt;=K11,AL2,CF25)</f>
        <v>BPN</v>
      </c>
      <c r="CG24" s="30" t="str">
        <f>IF(AL45&lt;=K11,AL2,CG25)</f>
        <v>BPN</v>
      </c>
      <c r="CH24" s="30" t="str">
        <f>IF(AL46&lt;=K11,AL2,CH25)</f>
        <v>BPN</v>
      </c>
      <c r="CI24" s="30" t="str">
        <f>IF(AL47&lt;=K11,AL2,CI25)</f>
        <v>BPN</v>
      </c>
      <c r="CJ24" s="30" t="str">
        <f>IF(AL48&lt;=K11,AL2,CJ25)</f>
        <v>BPN</v>
      </c>
      <c r="CK24" s="30" t="str">
        <f>IF(AM49&lt;=K11,AM2,"BPN")</f>
        <v>BPN</v>
      </c>
      <c r="CL24" s="30" t="str">
        <f>IF(AM50&lt;=K11,AM2,"BPN")</f>
        <v>BPN</v>
      </c>
      <c r="CM24" s="30" t="str">
        <f>IF(AM51&lt;=K11,AM2,"BPN")</f>
        <v>BPN</v>
      </c>
      <c r="CN24" s="30" t="str">
        <f>IF(AM52&lt;=K11,AM2,"BPN")</f>
        <v>BPN</v>
      </c>
      <c r="CO24" s="30" t="str">
        <f>IF(AM53&lt;=K11,AM2,"BPN")</f>
        <v>BPN</v>
      </c>
      <c r="CP24" s="30" t="str">
        <f>IF(AM54&lt;=K11,AM2,"BPN")</f>
        <v>BPN</v>
      </c>
      <c r="CQ24" s="30" t="str">
        <f>IF(AM55&lt;=K11,AM2,"BPN")</f>
        <v>BPN</v>
      </c>
      <c r="CR24" s="30" t="str">
        <f>IF(AM56&lt;=K11,AM2,"BPN")</f>
        <v>BPN</v>
      </c>
      <c r="CS24" s="30" t="str">
        <f>IF(AM57&lt;=K11,AM2,"BPN")</f>
        <v>BPN</v>
      </c>
      <c r="CT24" s="30" t="str">
        <f>IF(AM58&lt;=K11,AM2,"BPN")</f>
        <v>BPN</v>
      </c>
      <c r="CU24" s="30" t="str">
        <f>IF(AM59&lt;=K11,AM2,"BPN")</f>
        <v>BPN</v>
      </c>
      <c r="CV24" s="30" t="str">
        <f>IF(AM60&lt;=K11,AM2,"BPN")</f>
        <v>BPN</v>
      </c>
      <c r="CW24" s="30" t="str">
        <f>IF(AM61&lt;=K11,AM2,"BPN")</f>
        <v>BPN</v>
      </c>
      <c r="CX24" s="30" t="str">
        <f>IF(AM62&lt;=K11,AM2,"BPN")</f>
        <v>BPN</v>
      </c>
      <c r="CY24" s="30" t="str">
        <f>IF(AM63&lt;=K11,AM2,"BPN")</f>
        <v>BPN</v>
      </c>
    </row>
    <row r="25" spans="1:103" ht="15.95" customHeight="1">
      <c r="J25" s="169" t="s">
        <v>87</v>
      </c>
      <c r="K25" s="169"/>
      <c r="L25" s="169"/>
      <c r="M25" s="169"/>
      <c r="N25" s="169"/>
      <c r="O25" s="169"/>
      <c r="P25" s="169"/>
      <c r="R25" s="31"/>
      <c r="Y25" s="57">
        <f>IF(O31&gt;10,4,0)</f>
        <v>0</v>
      </c>
      <c r="AE25" s="44">
        <v>110</v>
      </c>
      <c r="AF25" s="48"/>
      <c r="AG25" s="23"/>
      <c r="AH25" s="23"/>
      <c r="AI25" s="23"/>
      <c r="AJ25" s="23"/>
      <c r="AK25" s="23">
        <v>12</v>
      </c>
      <c r="AL25" s="23">
        <v>7.5</v>
      </c>
      <c r="AM25" s="49">
        <v>4.5</v>
      </c>
      <c r="AN25" s="44">
        <v>110</v>
      </c>
      <c r="AP25" s="31"/>
      <c r="AQ25" s="30" t="str">
        <f>IF(AG3&lt;=K11,AG2,AQ26)</f>
        <v>3/4"</v>
      </c>
      <c r="AR25" s="30" t="str">
        <f>IF(AG4&lt;=K11,AG2,AR26)</f>
        <v>3"</v>
      </c>
      <c r="AS25" s="30" t="str">
        <f>IF(AG5&lt;=K11,AG2,AS26)</f>
        <v>3"</v>
      </c>
      <c r="AT25" s="30" t="str">
        <f>IF(AG6&lt;=K11,AG2,AT26)</f>
        <v>BPN</v>
      </c>
      <c r="AU25" s="30" t="str">
        <f>IF(AG7&lt;=K11,AG2,AU26)</f>
        <v>BPN</v>
      </c>
      <c r="AV25" s="30" t="str">
        <f>IF(AH8&lt;=K11,AH2,AV26)</f>
        <v>BPN</v>
      </c>
      <c r="AW25" s="30" t="str">
        <f>IF(AH9&lt;=K11,AH2,AW26)</f>
        <v>BPN</v>
      </c>
      <c r="AX25" s="30" t="str">
        <f>IF(AI10&lt;=K11,AI2,AX26)</f>
        <v>BPN</v>
      </c>
      <c r="AY25" s="30" t="str">
        <f>IF(AI11&lt;=K11,AI2,AY26)</f>
        <v>BPN</v>
      </c>
      <c r="AZ25" s="30" t="str">
        <f>IF(AI12&lt;=K11,AI2,AZ26)</f>
        <v>BPN</v>
      </c>
      <c r="BA25" s="30" t="str">
        <f>IF(AI13&lt;=K11,AI2,BA26)</f>
        <v>BPN</v>
      </c>
      <c r="BB25" s="30" t="str">
        <f>IF(AJ14&lt;=K11,AJ2,BB26)</f>
        <v>BPN</v>
      </c>
      <c r="BC25" s="30" t="str">
        <f>IF(AJ15&lt;=K11,AJ2,BC26)</f>
        <v>BPN</v>
      </c>
      <c r="BD25" s="30" t="str">
        <f>IF(AJ16&lt;=K11,AJ2,BD26)</f>
        <v>BPN</v>
      </c>
      <c r="BE25" s="30" t="str">
        <f>IF(AJ17&lt;=K11,AJ2,BE26)</f>
        <v>BPN</v>
      </c>
      <c r="BF25" s="30" t="str">
        <f>IF(AJ18&lt;=K11,AJ2,BF26)</f>
        <v>BPN</v>
      </c>
      <c r="BG25" s="30" t="str">
        <f>IF(AJ19&lt;=K11,AJ2,BG26)</f>
        <v>BPN</v>
      </c>
      <c r="BH25" s="30" t="str">
        <f>IF(AK20&lt;=K11,AK2,BH26)</f>
        <v>BPN</v>
      </c>
      <c r="BI25" s="30" t="str">
        <f>IF(AK21&lt;=K11,AK2,BI26)</f>
        <v>BPN</v>
      </c>
      <c r="BJ25" s="30" t="str">
        <f>IF(AK22&lt;=K11,AK2,BJ26)</f>
        <v>BPN</v>
      </c>
      <c r="BK25" s="30" t="str">
        <f>IF(AK23&lt;=K11,AK2,BK26)</f>
        <v>BPN</v>
      </c>
      <c r="BL25" s="30" t="str">
        <f>IF(AL24&lt;=K11,AL2,BL26)</f>
        <v>BPN</v>
      </c>
      <c r="BM25" s="30" t="str">
        <f>IF(AL25&lt;=K11,AL2,BM26)</f>
        <v>BPN</v>
      </c>
      <c r="BN25" s="30" t="str">
        <f>IF(AL26&lt;=K11,AL2,BN26)</f>
        <v>BPN</v>
      </c>
      <c r="BO25" s="30" t="str">
        <f>IF(AL27&lt;=K11,AL2,BO26)</f>
        <v>BPN</v>
      </c>
      <c r="BP25" s="30" t="str">
        <f>IF(AL28&lt;=K11,AL2,BP26)</f>
        <v>BPN</v>
      </c>
      <c r="BQ25" s="30" t="str">
        <f>IF(AL29&lt;=K11,AL2,BQ26)</f>
        <v>BPN</v>
      </c>
      <c r="BR25" s="30" t="str">
        <f>IF(AL30&lt;=K11,AL2,BR26)</f>
        <v>BPN</v>
      </c>
      <c r="BS25" s="30" t="str">
        <f>IF(AL31&lt;=K11,AL2,BS26)</f>
        <v>BPN</v>
      </c>
      <c r="BT25" s="30" t="str">
        <f>IF(AL32&lt;=K11,AL2,BT26)</f>
        <v>BPN</v>
      </c>
      <c r="BU25" s="30" t="str">
        <f>IF(AL33&lt;=K11,AL2,BU26)</f>
        <v>BPN</v>
      </c>
      <c r="BV25" s="30" t="str">
        <f>IF(AL34&lt;=K11,AL2,BV26)</f>
        <v>BPN</v>
      </c>
      <c r="BW25" s="30" t="str">
        <f>IF(AL35&lt;=K11,AL2,BW26)</f>
        <v>BPN</v>
      </c>
      <c r="BX25" s="30" t="str">
        <f>IF(AM36&lt;=K11,AM2,"BPN")</f>
        <v>BPN</v>
      </c>
      <c r="BY25" s="30" t="str">
        <f>IF(AM37&lt;=K11,AM2,"BPN")</f>
        <v>BPN</v>
      </c>
      <c r="BZ25" s="30" t="str">
        <f>IF(AM38&lt;=K11,AM2,"BPN")</f>
        <v>BPN</v>
      </c>
      <c r="CA25" s="30" t="str">
        <f>IF(AM39&lt;=K11,AM2,"BPN")</f>
        <v>BPN</v>
      </c>
      <c r="CB25" s="30" t="str">
        <f>IF(AM40&lt;=K11,AM2,"BPN")</f>
        <v>BPN</v>
      </c>
      <c r="CC25" s="30" t="str">
        <f>IF(AM41&lt;=K11,AM2,"BPN")</f>
        <v>BPN</v>
      </c>
      <c r="CD25" s="30" t="str">
        <f>IF(AM42&lt;=K11,AM2,"BPN")</f>
        <v>BPN</v>
      </c>
      <c r="CE25" s="30" t="str">
        <f>IF(AM43&lt;=K11,AM2,"BPN")</f>
        <v>BPN</v>
      </c>
      <c r="CF25" s="30" t="str">
        <f>IF(AM44&lt;=K11,AM2,"BPN")</f>
        <v>BPN</v>
      </c>
      <c r="CG25" s="30" t="str">
        <f>IF(AM45&lt;=K11,AM2,"BPN")</f>
        <v>BPN</v>
      </c>
      <c r="CH25" s="30" t="str">
        <f>IF(AM46&lt;=K11,AM2,"BPN")</f>
        <v>BPN</v>
      </c>
      <c r="CI25" s="30" t="str">
        <f>IF(AM47&lt;=K11,AM2,"BPN")</f>
        <v>BPN</v>
      </c>
      <c r="CJ25" s="30" t="str">
        <f>IF(AM48&lt;=K11,AM2,"BPN")</f>
        <v>BPN</v>
      </c>
    </row>
    <row r="26" spans="1:103" ht="15.95" customHeight="1">
      <c r="B26" s="164" t="s">
        <v>63</v>
      </c>
      <c r="C26" s="164"/>
      <c r="D26" s="164"/>
      <c r="E26" s="56">
        <v>300</v>
      </c>
      <c r="F26" s="56" t="s">
        <v>51</v>
      </c>
      <c r="J26" s="29" t="s">
        <v>93</v>
      </c>
      <c r="K26" s="27">
        <f>Y4</f>
        <v>0</v>
      </c>
      <c r="L26" s="25" t="s">
        <v>54</v>
      </c>
      <c r="M26" s="26">
        <f>Z4</f>
        <v>0</v>
      </c>
      <c r="N26" s="25" t="s">
        <v>53</v>
      </c>
      <c r="O26" s="28" t="e">
        <f>ROUND(BM49-(K11/AT15)*(AT15-1),0)</f>
        <v>#DIV/0!</v>
      </c>
      <c r="P26" s="25" t="s">
        <v>51</v>
      </c>
      <c r="R26" s="31"/>
      <c r="T26" s="31"/>
      <c r="Y26" s="57">
        <f>IF(O32&gt;10,6,0)</f>
        <v>0</v>
      </c>
      <c r="AE26" s="44">
        <v>115</v>
      </c>
      <c r="AF26" s="48"/>
      <c r="AG26" s="23"/>
      <c r="AH26" s="23"/>
      <c r="AI26" s="23"/>
      <c r="AJ26" s="23"/>
      <c r="AK26" s="23">
        <v>12.5</v>
      </c>
      <c r="AL26" s="23">
        <v>8</v>
      </c>
      <c r="AM26" s="49">
        <v>4.5</v>
      </c>
      <c r="AN26" s="44">
        <v>115</v>
      </c>
      <c r="AP26" s="31"/>
      <c r="AQ26" s="30" t="str">
        <f>IF(AH3&lt;=K11,AH2,AQ27)</f>
        <v>1"</v>
      </c>
      <c r="AR26" s="30" t="str">
        <f>IF(AH4&lt;=K11,AH2,AR27)</f>
        <v>3"</v>
      </c>
      <c r="AS26" s="30" t="str">
        <f>IF(AH5&lt;=K11,AH2,AS27)</f>
        <v>3"</v>
      </c>
      <c r="AT26" s="30" t="str">
        <f>IF(AH6&lt;=K11,AH2,AT27)</f>
        <v>BPN</v>
      </c>
      <c r="AU26" s="30" t="str">
        <f>IF(AH7&lt;=K11,AH2,AU27)</f>
        <v>BPN</v>
      </c>
      <c r="AV26" s="30" t="str">
        <f>IF(AI8&lt;=K11,AI2,AV27)</f>
        <v>BPN</v>
      </c>
      <c r="AW26" s="30" t="str">
        <f>IF(AI9&lt;=K11,AI2,AW27)</f>
        <v>BPN</v>
      </c>
      <c r="AX26" s="30" t="str">
        <f>IF(AJ10&lt;=K11,AJ2,AX27)</f>
        <v>BPN</v>
      </c>
      <c r="AY26" s="30" t="str">
        <f>IF(AJ11&lt;=K11,AJ2,AY27)</f>
        <v>BPN</v>
      </c>
      <c r="AZ26" s="30" t="str">
        <f>IF(AJ12&lt;=K11,AJ2,AZ27)</f>
        <v>BPN</v>
      </c>
      <c r="BA26" s="30" t="str">
        <f>IF(AJ13&lt;=K11,AJ2,BA27)</f>
        <v>BPN</v>
      </c>
      <c r="BB26" s="30" t="str">
        <f>IF(AK14&lt;=K11,AK2,BB27)</f>
        <v>BPN</v>
      </c>
      <c r="BC26" s="30" t="str">
        <f>IF(AK15&lt;=K11,AK2,BC27)</f>
        <v>BPN</v>
      </c>
      <c r="BD26" s="30" t="str">
        <f>IF(AK16&lt;=K11,AK2,BD27)</f>
        <v>BPN</v>
      </c>
      <c r="BE26" s="30" t="str">
        <f>IF(AK17&lt;=K11,AK2,BE27)</f>
        <v>BPN</v>
      </c>
      <c r="BF26" s="30" t="str">
        <f>IF(AK18&lt;=K11,AK2,BF27)</f>
        <v>BPN</v>
      </c>
      <c r="BG26" s="30" t="str">
        <f>IF(AK19&lt;=K11,AK2,BG27)</f>
        <v>BPN</v>
      </c>
      <c r="BH26" s="30" t="str">
        <f>IF(AL20&lt;=K11,AL2,BH27)</f>
        <v>BPN</v>
      </c>
      <c r="BI26" s="30" t="str">
        <f>IF(AL21&lt;=K11,AL2,BI27)</f>
        <v>BPN</v>
      </c>
      <c r="BJ26" s="30" t="str">
        <f>IF(AL22&lt;=K11,AL2,BJ27)</f>
        <v>BPN</v>
      </c>
      <c r="BK26" s="30" t="str">
        <f>IF(AL23&lt;=K11,AL2,BK27)</f>
        <v>BPN</v>
      </c>
      <c r="BL26" s="30" t="str">
        <f>IF(AM24&lt;=K11,AM2,"BPN")</f>
        <v>BPN</v>
      </c>
      <c r="BM26" s="30" t="str">
        <f>IF(AM25&lt;=K11,AM2,"BPN")</f>
        <v>BPN</v>
      </c>
      <c r="BN26" s="30" t="str">
        <f>IF(AM26&lt;=K11,AM2,"BPN")</f>
        <v>BPN</v>
      </c>
      <c r="BO26" s="30" t="str">
        <f>IF(AM27&lt;=K11,AM2,"BPN")</f>
        <v>BPN</v>
      </c>
      <c r="BP26" s="30" t="str">
        <f>IF(AM28&lt;=K11,AM2,"BPN")</f>
        <v>BPN</v>
      </c>
      <c r="BQ26" s="30" t="str">
        <f>IF(AM29&lt;=K11,AM2,"BPN")</f>
        <v>BPN</v>
      </c>
      <c r="BR26" s="30" t="str">
        <f>IF(AM30&lt;=K11,AM2,"BPN")</f>
        <v>BPN</v>
      </c>
      <c r="BS26" s="30" t="str">
        <f>IF(AM31&lt;=K11,AM2,"BPN")</f>
        <v>BPN</v>
      </c>
      <c r="BT26" s="30" t="str">
        <f>IF(AM32&lt;=K11,AM2,"BPN")</f>
        <v>BPN</v>
      </c>
      <c r="BU26" s="30" t="str">
        <f>IF(AM33&lt;=K11,AM2,"BPN")</f>
        <v>BPN</v>
      </c>
      <c r="BV26" s="30" t="str">
        <f>IF(AM34&lt;=K11,AM2,"BPN")</f>
        <v>BPN</v>
      </c>
      <c r="BW26" s="30" t="str">
        <f>IF(AM35&lt;=K11,AM2,"BPN")</f>
        <v>BPN</v>
      </c>
    </row>
    <row r="27" spans="1:103" ht="15.95" customHeight="1">
      <c r="B27" s="164" t="s">
        <v>2</v>
      </c>
      <c r="C27" s="164"/>
      <c r="D27" s="164"/>
      <c r="E27" s="56">
        <v>140</v>
      </c>
      <c r="F27" s="56" t="s">
        <v>52</v>
      </c>
      <c r="J27" s="29" t="s">
        <v>95</v>
      </c>
      <c r="K27" s="27">
        <f>Y5</f>
        <v>0</v>
      </c>
      <c r="L27" s="25" t="s">
        <v>54</v>
      </c>
      <c r="M27" s="26">
        <f>Z5</f>
        <v>0</v>
      </c>
      <c r="N27" s="25" t="s">
        <v>53</v>
      </c>
      <c r="O27" s="28">
        <f>IF(M27=0,0,ROUND(O26+K11/AT15,0))</f>
        <v>0</v>
      </c>
      <c r="P27" s="25" t="s">
        <v>51</v>
      </c>
      <c r="R27" s="31"/>
      <c r="T27" s="31"/>
      <c r="U27" s="31"/>
      <c r="Y27" s="31"/>
      <c r="AE27" s="44">
        <v>120</v>
      </c>
      <c r="AF27" s="48"/>
      <c r="AG27" s="23"/>
      <c r="AH27" s="23"/>
      <c r="AI27" s="23"/>
      <c r="AJ27" s="23"/>
      <c r="AK27" s="23">
        <v>13</v>
      </c>
      <c r="AL27" s="23">
        <v>8.5</v>
      </c>
      <c r="AM27" s="49">
        <v>4.5</v>
      </c>
      <c r="AN27" s="44">
        <v>120</v>
      </c>
      <c r="AP27" s="31"/>
      <c r="AQ27" s="30" t="str">
        <f>IF(AI3&lt;=K11,AI2,AQ28)</f>
        <v>1-1/4"</v>
      </c>
      <c r="AR27" s="30" t="str">
        <f>IF(AI4&lt;=K11,AI2,AR28)</f>
        <v>3"</v>
      </c>
      <c r="AS27" s="30" t="str">
        <f>IF(AI5&lt;=K11,AI2,AS28)</f>
        <v>3"</v>
      </c>
      <c r="AT27" s="30" t="str">
        <f>IF(AI6&lt;=K11,AI2,AT28)</f>
        <v>BPN</v>
      </c>
      <c r="AU27" s="30" t="str">
        <f>IF(AI7&lt;=K11,AI2,AU28)</f>
        <v>BPN</v>
      </c>
      <c r="AV27" s="30" t="str">
        <f>IF(AJ8&lt;=K11,AJ2,AV28)</f>
        <v>BPN</v>
      </c>
      <c r="AW27" s="30" t="str">
        <f>IF(AJ9&lt;=K11,AJ2,AW28)</f>
        <v>BPN</v>
      </c>
      <c r="AX27" s="30" t="str">
        <f>IF(AK10&lt;=K11,AK2,AX28)</f>
        <v>BPN</v>
      </c>
      <c r="AY27" s="30" t="str">
        <f>IF(AK11&lt;=K11,AK2,AY28)</f>
        <v>BPN</v>
      </c>
      <c r="AZ27" s="30" t="str">
        <f>IF(AK12&lt;=K11,AK2,AZ28)</f>
        <v>BPN</v>
      </c>
      <c r="BA27" s="30" t="str">
        <f>IF(AK13&lt;=K11,AK2,BA28)</f>
        <v>BPN</v>
      </c>
      <c r="BB27" s="30" t="str">
        <f>IF(AL14&lt;=K11,AL2,BB28)</f>
        <v>BPN</v>
      </c>
      <c r="BC27" s="30" t="str">
        <f>IF(AL15&lt;=K11,AL2,BC28)</f>
        <v>BPN</v>
      </c>
      <c r="BD27" s="30" t="str">
        <f>IF(AL16&lt;=K11,AL2,BD28)</f>
        <v>BPN</v>
      </c>
      <c r="BE27" s="30" t="str">
        <f>IF(AL17&lt;=K11,AL2,BE28)</f>
        <v>BPN</v>
      </c>
      <c r="BF27" s="30" t="str">
        <f>IF(AL18&lt;=K11,AL2,BF28)</f>
        <v>BPN</v>
      </c>
      <c r="BG27" s="30" t="str">
        <f>IF(AL19&lt;=K11,AL2,BG28)</f>
        <v>BPN</v>
      </c>
      <c r="BH27" s="30" t="str">
        <f>IF(AM20&lt;=K11,AM2,"BPN")</f>
        <v>BPN</v>
      </c>
      <c r="BI27" s="30" t="str">
        <f>IF(AM21&lt;=K11,AM2,"BPN")</f>
        <v>BPN</v>
      </c>
      <c r="BJ27" s="30" t="str">
        <f>IF(AM22&lt;=K11,AM2,"BPN")</f>
        <v>BPN</v>
      </c>
      <c r="BK27" s="30" t="str">
        <f>IF(AM23&lt;=K11,AM2,"BPN")</f>
        <v>BPN</v>
      </c>
    </row>
    <row r="28" spans="1:103" ht="15.95" customHeight="1">
      <c r="B28" s="164" t="s">
        <v>64</v>
      </c>
      <c r="C28" s="164"/>
      <c r="D28" s="164"/>
      <c r="E28" s="56">
        <v>125</v>
      </c>
      <c r="F28" s="56" t="s">
        <v>51</v>
      </c>
      <c r="J28" s="29" t="s">
        <v>98</v>
      </c>
      <c r="K28" s="27">
        <f>Y6</f>
        <v>0</v>
      </c>
      <c r="L28" s="25" t="s">
        <v>54</v>
      </c>
      <c r="M28" s="26">
        <f>Z6</f>
        <v>0</v>
      </c>
      <c r="N28" s="25" t="s">
        <v>53</v>
      </c>
      <c r="O28" s="28">
        <f>ROUND(IF(M28=0,0,O27+K11/AT15),0)</f>
        <v>0</v>
      </c>
      <c r="P28" s="25" t="s">
        <v>51</v>
      </c>
      <c r="R28" s="31"/>
      <c r="U28" s="31"/>
      <c r="Y28" s="31" t="e">
        <f>SUM(Y16:Y26)</f>
        <v>#DIV/0!</v>
      </c>
      <c r="AE28" s="44">
        <v>125</v>
      </c>
      <c r="AF28" s="48"/>
      <c r="AG28" s="23"/>
      <c r="AH28" s="23"/>
      <c r="AI28" s="23"/>
      <c r="AJ28" s="23"/>
      <c r="AK28" s="23">
        <v>14</v>
      </c>
      <c r="AL28" s="23">
        <v>8.5</v>
      </c>
      <c r="AM28" s="49">
        <v>5</v>
      </c>
      <c r="AN28" s="44">
        <v>125</v>
      </c>
      <c r="AQ28" s="30" t="str">
        <f>IF(AJ3&lt;=K11,AJ2,AQ29)</f>
        <v>1-1/2"</v>
      </c>
      <c r="AR28" s="30" t="str">
        <f>IF(AJ4&lt;=K11,AJ2,AR29)</f>
        <v>3"</v>
      </c>
      <c r="AS28" s="30" t="str">
        <f>IF(AJ5&lt;=K11,AJ2,AS29)</f>
        <v>3"</v>
      </c>
      <c r="AT28" s="30" t="str">
        <f>IF(AJ6&lt;=K11,AJ2,AT29)</f>
        <v>BPN</v>
      </c>
      <c r="AU28" s="30" t="str">
        <f>IF(AJ7&lt;=K11,AJ2,AU29)</f>
        <v>BPN</v>
      </c>
      <c r="AV28" s="30" t="str">
        <f>IF(AK8&lt;=K11,AK2,AV29)</f>
        <v>BPN</v>
      </c>
      <c r="AW28" s="30" t="str">
        <f>IF(AK9&lt;=K11,AK2,AW29)</f>
        <v>BPN</v>
      </c>
      <c r="AX28" s="30" t="str">
        <f>IF(AL10&lt;=K11,AL2,AX29)</f>
        <v>BPN</v>
      </c>
      <c r="AY28" s="30" t="str">
        <f>IF(AL11&lt;=K11,AL2,AY29)</f>
        <v>BPN</v>
      </c>
      <c r="AZ28" s="30" t="str">
        <f>IF(AL12&lt;=K11,AL2,AZ29)</f>
        <v>BPN</v>
      </c>
      <c r="BA28" s="30" t="str">
        <f>IF(AL13&lt;=K11,AL2,BA29)</f>
        <v>BPN</v>
      </c>
      <c r="BB28" s="30" t="str">
        <f>IF(AM14&lt;=K11,AM2,"BPN")</f>
        <v>BPN</v>
      </c>
      <c r="BC28" s="30" t="str">
        <f>IF(AM15&lt;=K11,AM2,"BPN")</f>
        <v>BPN</v>
      </c>
      <c r="BD28" s="30" t="str">
        <f>IF(AM16&lt;=K11,AM2,"BPN")</f>
        <v>BPN</v>
      </c>
      <c r="BE28" s="30" t="str">
        <f>IF(AM17&lt;=K11,AM2,"BPN")</f>
        <v>BPN</v>
      </c>
      <c r="BF28" s="30" t="str">
        <f>IF(AM18&lt;=K11,AM2,"BPN")</f>
        <v>BPN</v>
      </c>
      <c r="BG28" s="30" t="str">
        <f>IF(AM19&lt;=K11,AM2,"BPN")</f>
        <v>BPN</v>
      </c>
    </row>
    <row r="29" spans="1:103" ht="15.95" customHeight="1">
      <c r="B29" s="164" t="s">
        <v>18</v>
      </c>
      <c r="C29" s="164"/>
      <c r="D29" s="164"/>
      <c r="E29" s="56">
        <v>10</v>
      </c>
      <c r="F29" s="56" t="s">
        <v>51</v>
      </c>
      <c r="J29" s="151" t="s">
        <v>88</v>
      </c>
      <c r="K29" s="152"/>
      <c r="L29" s="152"/>
      <c r="M29" s="152"/>
      <c r="N29" s="152"/>
      <c r="O29" s="152"/>
      <c r="P29" s="153"/>
      <c r="R29" s="31"/>
      <c r="U29" s="31"/>
      <c r="AE29" s="44">
        <v>130</v>
      </c>
      <c r="AF29" s="48"/>
      <c r="AG29" s="23"/>
      <c r="AH29" s="23"/>
      <c r="AI29" s="23"/>
      <c r="AJ29" s="23"/>
      <c r="AK29" s="23">
        <v>14.5</v>
      </c>
      <c r="AL29" s="23">
        <v>9</v>
      </c>
      <c r="AM29" s="49">
        <v>5</v>
      </c>
      <c r="AN29" s="44">
        <v>130</v>
      </c>
      <c r="AQ29" s="30" t="str">
        <f>IF(AK3&lt;=K11,AK2,AQ30)</f>
        <v>2"</v>
      </c>
      <c r="AR29" s="30" t="str">
        <f>IF(AK4&lt;=K11,AK2,AR30)</f>
        <v>3"</v>
      </c>
      <c r="AS29" s="30" t="str">
        <f>IF(AK5&lt;=K11,AK2,AS30)</f>
        <v>3"</v>
      </c>
      <c r="AT29" s="30" t="str">
        <f>IF(AK6&lt;=K11,AK2,AT30)</f>
        <v>BPN</v>
      </c>
      <c r="AU29" s="30" t="str">
        <f>IF(AK7&lt;=K11,AK2,AU30)</f>
        <v>BPN</v>
      </c>
      <c r="AV29" s="30" t="str">
        <f>IF(AL8&lt;=K11,AL2,AV30)</f>
        <v>BPN</v>
      </c>
      <c r="AW29" s="30" t="str">
        <f>IF(AL9&lt;=K11,AL2,AW30)</f>
        <v>BPN</v>
      </c>
      <c r="AX29" s="30" t="str">
        <f>IF(AM10&lt;=K11,AM2,"BPN")</f>
        <v>BPN</v>
      </c>
      <c r="AY29" s="30" t="str">
        <f>IF(AM11&lt;=K11,AM2,"BPN")</f>
        <v>BPN</v>
      </c>
      <c r="AZ29" s="30" t="str">
        <f>IF(AM12&lt;=K11,AM2,"BPN")</f>
        <v>BPN</v>
      </c>
      <c r="BA29" s="30" t="str">
        <f>IF(AM13&lt;=K11,AM2,"BPN")</f>
        <v>BPN</v>
      </c>
    </row>
    <row r="30" spans="1:103" ht="15.95" customHeight="1">
      <c r="B30" s="164" t="s">
        <v>12</v>
      </c>
      <c r="C30" s="164"/>
      <c r="D30" s="164"/>
      <c r="E30" s="56">
        <v>0</v>
      </c>
      <c r="F30" s="56" t="s">
        <v>53</v>
      </c>
      <c r="J30" s="29" t="s">
        <v>91</v>
      </c>
      <c r="K30" s="27">
        <f>Y4</f>
        <v>0</v>
      </c>
      <c r="L30" s="25" t="s">
        <v>54</v>
      </c>
      <c r="M30" s="26">
        <f>Z4</f>
        <v>0</v>
      </c>
      <c r="N30" s="25" t="s">
        <v>53</v>
      </c>
      <c r="O30" s="28" t="e">
        <f>ROUND(BM50-(K11/AT15)*(AT15-1),0)</f>
        <v>#DIV/0!</v>
      </c>
      <c r="P30" s="25" t="s">
        <v>51</v>
      </c>
      <c r="R30" s="31"/>
      <c r="U30" s="31"/>
      <c r="Y30" s="30">
        <v>1</v>
      </c>
      <c r="Z30" s="30" t="e">
        <f>IF(Y28=Y30,AB30,Z31)</f>
        <v>#DIV/0!</v>
      </c>
      <c r="AB30" t="s">
        <v>66</v>
      </c>
      <c r="AE30" s="44">
        <v>135</v>
      </c>
      <c r="AF30" s="48"/>
      <c r="AG30" s="23"/>
      <c r="AH30" s="23"/>
      <c r="AI30" s="23"/>
      <c r="AJ30" s="23"/>
      <c r="AK30" s="23">
        <v>15</v>
      </c>
      <c r="AL30" s="23">
        <v>9.5</v>
      </c>
      <c r="AM30" s="49">
        <v>5</v>
      </c>
      <c r="AN30" s="44">
        <v>135</v>
      </c>
      <c r="AQ30" s="30" t="str">
        <f>IF(AL3&lt;=K11,AL2,AQ31)</f>
        <v>2-1/2"</v>
      </c>
      <c r="AR30" s="30" t="str">
        <f>IF(AL4&lt;=K11,AL2,AR31)</f>
        <v>3"</v>
      </c>
      <c r="AS30" s="30" t="str">
        <f>IF(AL5&lt;=K11,AL2,AS31)</f>
        <v>3"</v>
      </c>
      <c r="AT30" s="30" t="str">
        <f>IF(AL6&lt;=K11,AL2,AT31)</f>
        <v>BPN</v>
      </c>
      <c r="AU30" s="30" t="str">
        <f>IF(AL7&lt;=K11,AL2,AU31)</f>
        <v>BPN</v>
      </c>
      <c r="AV30" s="30" t="str">
        <f>IF(AM8&lt;=K11,AM2,"BPN")</f>
        <v>BPN</v>
      </c>
      <c r="AW30" s="30" t="str">
        <f>IF(AM9&lt;=K11,AM2,"BPN")</f>
        <v>BPN</v>
      </c>
    </row>
    <row r="31" spans="1:103" ht="15.95" customHeight="1">
      <c r="A31" s="31"/>
      <c r="B31" s="166"/>
      <c r="C31" s="166"/>
      <c r="D31" s="166"/>
      <c r="E31" s="31"/>
      <c r="F31" s="31"/>
      <c r="G31" s="31"/>
      <c r="J31" s="29" t="s">
        <v>97</v>
      </c>
      <c r="K31" s="27">
        <f>Y5</f>
        <v>0</v>
      </c>
      <c r="L31" s="25" t="s">
        <v>54</v>
      </c>
      <c r="M31" s="26">
        <f>Z5</f>
        <v>0</v>
      </c>
      <c r="N31" s="25" t="s">
        <v>53</v>
      </c>
      <c r="O31" s="28">
        <f>IF(M31=0,0,ROUND(O30+K11/AT15,0))</f>
        <v>0</v>
      </c>
      <c r="P31" s="25" t="s">
        <v>51</v>
      </c>
      <c r="R31" s="31"/>
      <c r="U31" s="31"/>
      <c r="Y31" s="30">
        <v>2</v>
      </c>
      <c r="Z31" s="30" t="e">
        <f>IF(Y28=Y31,AB31,Z32)</f>
        <v>#DIV/0!</v>
      </c>
      <c r="AB31" s="58" t="s">
        <v>67</v>
      </c>
      <c r="AE31" s="44">
        <v>140</v>
      </c>
      <c r="AF31" s="48"/>
      <c r="AG31" s="23"/>
      <c r="AH31" s="23"/>
      <c r="AI31" s="23"/>
      <c r="AJ31" s="23"/>
      <c r="AK31" s="23">
        <v>16</v>
      </c>
      <c r="AL31" s="23">
        <v>10</v>
      </c>
      <c r="AM31" s="49">
        <v>5.5</v>
      </c>
      <c r="AN31" s="44">
        <v>140</v>
      </c>
      <c r="AQ31" s="30" t="str">
        <f>IF(AM3&lt;=K11,AM2,"BPN")</f>
        <v>3"</v>
      </c>
      <c r="AR31" s="30" t="str">
        <f>IF(AM4&lt;=K11,AM2,"BPN")</f>
        <v>3"</v>
      </c>
      <c r="AS31" s="30" t="str">
        <f>IF(AM4&lt;=K11,AM2,"BPN")</f>
        <v>3"</v>
      </c>
      <c r="AT31" s="30" t="str">
        <f>IF(AM6&lt;=K11,AM2,"BPN")</f>
        <v>BPN</v>
      </c>
      <c r="AU31" s="30" t="str">
        <f>IF(AM7&lt;=K11,AM2,"BPN")</f>
        <v>BPN</v>
      </c>
    </row>
    <row r="32" spans="1:103" ht="15.95" customHeight="1">
      <c r="A32" s="31"/>
      <c r="B32" s="163"/>
      <c r="C32" s="163"/>
      <c r="D32" s="163"/>
      <c r="E32" s="163"/>
      <c r="F32" s="163"/>
      <c r="G32" s="31"/>
      <c r="J32" s="29" t="s">
        <v>99</v>
      </c>
      <c r="K32" s="27">
        <f>Y6</f>
        <v>0</v>
      </c>
      <c r="L32" s="25" t="s">
        <v>54</v>
      </c>
      <c r="M32" s="26">
        <f>Z6</f>
        <v>0</v>
      </c>
      <c r="N32" s="25" t="s">
        <v>53</v>
      </c>
      <c r="O32" s="28">
        <f>ROUND(IF(M32=0,0,O31+K11/AT15),0)</f>
        <v>0</v>
      </c>
      <c r="P32" s="25" t="s">
        <v>51</v>
      </c>
      <c r="R32" s="31"/>
      <c r="S32" s="39"/>
      <c r="U32" s="31"/>
      <c r="Y32" s="30">
        <v>3</v>
      </c>
      <c r="Z32" s="30" t="e">
        <f>IF(Y28=Y32,AB32,Z33)</f>
        <v>#DIV/0!</v>
      </c>
      <c r="AB32" s="58" t="s">
        <v>68</v>
      </c>
      <c r="AE32" s="44">
        <v>145</v>
      </c>
      <c r="AF32" s="48"/>
      <c r="AG32" s="23"/>
      <c r="AH32" s="23"/>
      <c r="AI32" s="23"/>
      <c r="AJ32" s="23"/>
      <c r="AK32" s="23">
        <v>17</v>
      </c>
      <c r="AL32" s="23">
        <v>10</v>
      </c>
      <c r="AM32" s="49">
        <v>5.5</v>
      </c>
      <c r="AN32" s="44">
        <v>145</v>
      </c>
    </row>
    <row r="33" spans="1:76" ht="15.95" customHeight="1">
      <c r="A33" s="31"/>
      <c r="B33" s="163"/>
      <c r="C33" s="163"/>
      <c r="D33" s="163"/>
      <c r="E33" s="163"/>
      <c r="F33" s="163"/>
      <c r="G33" s="31"/>
      <c r="O33" s="31"/>
      <c r="P33" s="31"/>
      <c r="R33" s="31"/>
      <c r="S33" s="31"/>
      <c r="T33" s="31"/>
      <c r="U33" s="31"/>
      <c r="Y33" s="30">
        <v>5</v>
      </c>
      <c r="Z33" s="30" t="e">
        <f>IF(Y28=Y33,AB33,Z34)</f>
        <v>#DIV/0!</v>
      </c>
      <c r="AB33" s="58" t="s">
        <v>69</v>
      </c>
      <c r="AE33" s="44">
        <v>150</v>
      </c>
      <c r="AF33" s="48"/>
      <c r="AG33" s="23"/>
      <c r="AH33" s="23"/>
      <c r="AI33" s="23"/>
      <c r="AJ33" s="23"/>
      <c r="AK33" s="23">
        <v>18.5</v>
      </c>
      <c r="AL33" s="23">
        <v>10.5</v>
      </c>
      <c r="AM33" s="49">
        <v>6</v>
      </c>
      <c r="AN33" s="44">
        <v>150</v>
      </c>
    </row>
    <row r="34" spans="1:76" ht="15.95" customHeight="1">
      <c r="A34" s="31"/>
      <c r="B34" s="163"/>
      <c r="C34" s="163"/>
      <c r="D34" s="163"/>
      <c r="E34" s="163"/>
      <c r="F34" s="163"/>
      <c r="G34" s="31"/>
      <c r="J34" s="40"/>
      <c r="O34" s="31"/>
      <c r="P34" s="31"/>
      <c r="R34" s="31"/>
      <c r="S34" s="31"/>
      <c r="T34" s="31"/>
      <c r="U34" s="31"/>
      <c r="Y34" s="30">
        <v>10</v>
      </c>
      <c r="Z34" s="30" t="e">
        <f>IF(Y28=Y34,AB34,Z35)</f>
        <v>#DIV/0!</v>
      </c>
      <c r="AB34" s="58" t="s">
        <v>70</v>
      </c>
      <c r="AE34" s="44">
        <v>155</v>
      </c>
      <c r="AF34" s="48"/>
      <c r="AG34" s="23"/>
      <c r="AH34" s="23"/>
      <c r="AI34" s="23"/>
      <c r="AJ34" s="23"/>
      <c r="AK34" s="23">
        <v>19.5</v>
      </c>
      <c r="AL34" s="23">
        <v>11</v>
      </c>
      <c r="AM34" s="49">
        <v>6</v>
      </c>
      <c r="AN34" s="44">
        <v>155</v>
      </c>
    </row>
    <row r="35" spans="1:76" ht="15.95" customHeight="1">
      <c r="A35" s="31"/>
      <c r="B35" s="163"/>
      <c r="C35" s="163"/>
      <c r="D35" s="163"/>
      <c r="E35" s="163"/>
      <c r="F35" s="163"/>
      <c r="G35" s="31"/>
      <c r="O35" s="31"/>
      <c r="P35" s="31"/>
      <c r="Q35" s="31"/>
      <c r="R35" s="31"/>
      <c r="S35" s="31"/>
      <c r="T35" s="31"/>
      <c r="U35" s="31"/>
      <c r="Y35" s="30">
        <v>11</v>
      </c>
      <c r="Z35" s="30" t="e">
        <f>IF(Y28=Y35,AB35,Z36)</f>
        <v>#DIV/0!</v>
      </c>
      <c r="AB35" s="58" t="s">
        <v>71</v>
      </c>
      <c r="AE35" s="44">
        <v>160</v>
      </c>
      <c r="AF35" s="48"/>
      <c r="AG35" s="23"/>
      <c r="AH35" s="23"/>
      <c r="AI35" s="23"/>
      <c r="AJ35" s="23"/>
      <c r="AK35" s="23">
        <v>21</v>
      </c>
      <c r="AL35" s="23">
        <v>11.5</v>
      </c>
      <c r="AM35" s="49">
        <v>6.5</v>
      </c>
      <c r="AN35" s="44">
        <v>160</v>
      </c>
    </row>
    <row r="36" spans="1:76" ht="15.95" customHeight="1">
      <c r="A36" s="31"/>
      <c r="B36" s="163"/>
      <c r="C36" s="163"/>
      <c r="D36" s="163"/>
      <c r="E36" s="163"/>
      <c r="F36" s="163"/>
      <c r="G36" s="31"/>
      <c r="N36" s="31"/>
      <c r="O36" s="31"/>
      <c r="P36" s="31"/>
      <c r="Q36" s="31"/>
      <c r="R36" s="31"/>
      <c r="S36" s="31"/>
      <c r="T36" s="31"/>
      <c r="Y36" s="30">
        <v>15</v>
      </c>
      <c r="Z36" s="30" t="e">
        <f>IF(Y28=Y36,AB36,Z37)</f>
        <v>#DIV/0!</v>
      </c>
      <c r="AB36" s="58" t="s">
        <v>72</v>
      </c>
      <c r="AE36" s="44">
        <v>165</v>
      </c>
      <c r="AF36" s="48"/>
      <c r="AG36" s="23"/>
      <c r="AH36" s="23"/>
      <c r="AI36" s="23"/>
      <c r="AJ36" s="23"/>
      <c r="AK36" s="23"/>
      <c r="AL36" s="23">
        <v>12</v>
      </c>
      <c r="AM36" s="49">
        <v>6.5</v>
      </c>
      <c r="AN36" s="44">
        <v>165</v>
      </c>
    </row>
    <row r="37" spans="1:76" ht="15.95" customHeight="1">
      <c r="A37" s="31"/>
      <c r="B37" s="31"/>
      <c r="C37" s="31"/>
      <c r="D37" s="31"/>
      <c r="E37" s="31"/>
      <c r="F37" s="31"/>
      <c r="G37" s="31"/>
      <c r="N37" s="31"/>
      <c r="O37" s="31"/>
      <c r="P37" s="31"/>
      <c r="Q37" s="31"/>
      <c r="R37" s="31"/>
      <c r="S37" s="31"/>
      <c r="T37" s="31"/>
      <c r="Y37" s="30">
        <v>22</v>
      </c>
      <c r="Z37" s="30" t="e">
        <f>IF(Y28=Y37,AB37,Z38)</f>
        <v>#DIV/0!</v>
      </c>
      <c r="AB37" s="58" t="s">
        <v>73</v>
      </c>
      <c r="AE37" s="44">
        <v>170</v>
      </c>
      <c r="AF37" s="48"/>
      <c r="AG37" s="23"/>
      <c r="AH37" s="23"/>
      <c r="AI37" s="23"/>
      <c r="AJ37" s="23"/>
      <c r="AK37" s="23"/>
      <c r="AL37" s="23">
        <v>12.5</v>
      </c>
      <c r="AM37" s="49">
        <v>7</v>
      </c>
      <c r="AN37" s="44">
        <v>170</v>
      </c>
      <c r="BH37" s="31"/>
      <c r="BI37" s="31"/>
    </row>
    <row r="38" spans="1:76" ht="15.95" customHeight="1">
      <c r="A38" s="31"/>
      <c r="B38" s="31"/>
      <c r="C38" s="31"/>
      <c r="D38" s="31"/>
      <c r="E38" s="31"/>
      <c r="F38" s="31"/>
      <c r="G38" s="31"/>
      <c r="N38" s="31"/>
      <c r="O38" s="31"/>
      <c r="P38" s="31"/>
      <c r="Q38" s="31"/>
      <c r="R38" s="31"/>
      <c r="T38" s="31"/>
      <c r="Y38" s="30">
        <v>33</v>
      </c>
      <c r="Z38" s="30" t="e">
        <f>IF(Y28=Y38,AB38,D42)</f>
        <v>#DIV/0!</v>
      </c>
      <c r="AB38" s="58" t="s">
        <v>74</v>
      </c>
      <c r="AE38" s="44">
        <v>175</v>
      </c>
      <c r="AF38" s="48"/>
      <c r="AG38" s="23"/>
      <c r="AH38" s="23"/>
      <c r="AI38" s="23"/>
      <c r="AJ38" s="23"/>
      <c r="AK38" s="23"/>
      <c r="AL38" s="23">
        <v>13</v>
      </c>
      <c r="AM38" s="49">
        <v>7</v>
      </c>
      <c r="AN38" s="44">
        <v>175</v>
      </c>
      <c r="BH38" s="31"/>
      <c r="BI38" s="31"/>
    </row>
    <row r="39" spans="1:76" ht="15.95" customHeight="1">
      <c r="N39" s="31"/>
      <c r="O39" s="31"/>
      <c r="P39" s="31"/>
      <c r="AE39" s="44">
        <v>180</v>
      </c>
      <c r="AF39" s="48"/>
      <c r="AG39" s="23"/>
      <c r="AH39" s="23"/>
      <c r="AI39" s="23"/>
      <c r="AJ39" s="23"/>
      <c r="AK39" s="23"/>
      <c r="AL39" s="23">
        <v>13.5</v>
      </c>
      <c r="AM39" s="49">
        <v>7.5</v>
      </c>
      <c r="AN39" s="44">
        <v>180</v>
      </c>
      <c r="AZ39" s="30">
        <f>IF(AB4=AZ41,AZ40,AY35)</f>
        <v>0</v>
      </c>
      <c r="BH39" s="31"/>
      <c r="BI39" s="31"/>
      <c r="BW39" s="30" t="e">
        <f>BX42</f>
        <v>#DIV/0!</v>
      </c>
    </row>
    <row r="40" spans="1:76" ht="15.95" customHeight="1">
      <c r="N40" s="31"/>
      <c r="O40" s="31"/>
      <c r="P40" s="31"/>
      <c r="AE40" s="44">
        <v>185</v>
      </c>
      <c r="AF40" s="48"/>
      <c r="AG40" s="23"/>
      <c r="AH40" s="23"/>
      <c r="AI40" s="23"/>
      <c r="AJ40" s="23"/>
      <c r="AK40" s="23"/>
      <c r="AL40" s="23">
        <v>14</v>
      </c>
      <c r="AM40" s="49">
        <v>7.5</v>
      </c>
      <c r="AN40" s="44">
        <v>185</v>
      </c>
      <c r="AS40" s="30">
        <f>IF(Y5=AS42,AS41,AU40)</f>
        <v>0</v>
      </c>
      <c r="AU40" s="30">
        <f>IF(Y5=AU42,AU41,AW40)</f>
        <v>0</v>
      </c>
      <c r="AW40" s="30">
        <f>IF(Y5=AW42,AW41,AY40)</f>
        <v>0</v>
      </c>
      <c r="AY40" s="30">
        <f>IF(Y5=AZ42,AY41,AX36)</f>
        <v>0</v>
      </c>
      <c r="BH40" s="31"/>
      <c r="BI40" s="31"/>
      <c r="BJ40" s="30" t="s">
        <v>0</v>
      </c>
    </row>
    <row r="41" spans="1:76" ht="15.95" customHeight="1">
      <c r="O41" s="31"/>
      <c r="P41" s="31"/>
      <c r="S41" s="31"/>
      <c r="AA41" s="30" t="e">
        <f>BW39</f>
        <v>#DIV/0!</v>
      </c>
      <c r="AE41" s="44">
        <v>190</v>
      </c>
      <c r="AF41" s="48"/>
      <c r="AG41" s="23"/>
      <c r="AH41" s="23"/>
      <c r="AI41" s="23"/>
      <c r="AJ41" s="23"/>
      <c r="AK41" s="23"/>
      <c r="AL41" s="23">
        <v>14.5</v>
      </c>
      <c r="AM41" s="49">
        <v>8</v>
      </c>
      <c r="AN41" s="44">
        <v>190</v>
      </c>
      <c r="AS41" s="30" t="e">
        <f>AT43</f>
        <v>#DIV/0!</v>
      </c>
      <c r="AU41" s="30" t="e">
        <f>AV43</f>
        <v>#DIV/0!</v>
      </c>
      <c r="AW41" s="30" t="e">
        <f>AX43</f>
        <v>#DIV/0!</v>
      </c>
      <c r="AY41" s="30" t="e">
        <f>AZ43</f>
        <v>#DIV/0!</v>
      </c>
      <c r="BB41" s="30">
        <f>IF(Y6=BB42,BC43,BE41)</f>
        <v>0</v>
      </c>
      <c r="BE41" s="30">
        <f>IF(Y6=BE42,BF43,BG41)</f>
        <v>0</v>
      </c>
      <c r="BG41" s="30">
        <f>IF(Y6=BG42,BH43,0)</f>
        <v>0</v>
      </c>
      <c r="BH41" s="31"/>
      <c r="BI41" s="31"/>
    </row>
    <row r="42" spans="1:76" ht="15.95" customHeight="1">
      <c r="O42" s="31"/>
      <c r="P42" s="31"/>
      <c r="Q42" s="31"/>
      <c r="R42" s="31"/>
      <c r="S42" s="31"/>
      <c r="T42" s="31"/>
      <c r="U42" s="31"/>
      <c r="Z42" s="30">
        <f>IF(K7&gt;250,1,0)</f>
        <v>0</v>
      </c>
      <c r="AA42" s="30">
        <f>Z5</f>
        <v>0</v>
      </c>
      <c r="AE42" s="44">
        <v>195</v>
      </c>
      <c r="AF42" s="48"/>
      <c r="AG42" s="23"/>
      <c r="AH42" s="23"/>
      <c r="AI42" s="23"/>
      <c r="AJ42" s="23"/>
      <c r="AK42" s="23"/>
      <c r="AL42" s="23">
        <v>15</v>
      </c>
      <c r="AM42" s="49">
        <v>8</v>
      </c>
      <c r="AN42" s="44">
        <v>195</v>
      </c>
      <c r="AS42" s="30" t="s">
        <v>8</v>
      </c>
      <c r="AU42" s="30" t="s">
        <v>9</v>
      </c>
      <c r="AW42" s="30" t="s">
        <v>10</v>
      </c>
      <c r="AZ42" s="30" t="s">
        <v>11</v>
      </c>
      <c r="BB42" s="30" t="s">
        <v>8</v>
      </c>
      <c r="BE42" s="30" t="s">
        <v>9</v>
      </c>
      <c r="BG42" s="30" t="s">
        <v>10</v>
      </c>
      <c r="BH42" s="31"/>
      <c r="BI42" s="31"/>
      <c r="BK42" s="30" t="s">
        <v>56</v>
      </c>
      <c r="BM42" s="30">
        <f>K13</f>
        <v>0</v>
      </c>
      <c r="BV42" s="30">
        <v>0</v>
      </c>
      <c r="BW42" s="47">
        <v>0</v>
      </c>
      <c r="BX42" s="30" t="e">
        <f>IF(K11/AT15&lt;BW42,BV42,BX43)</f>
        <v>#DIV/0!</v>
      </c>
    </row>
    <row r="43" spans="1:76" ht="15.95" customHeight="1">
      <c r="O43" s="31"/>
      <c r="P43" s="31"/>
      <c r="Q43" s="31"/>
      <c r="R43" s="31"/>
      <c r="S43" s="31"/>
      <c r="T43" s="31"/>
      <c r="U43" s="31"/>
      <c r="V43" s="31"/>
      <c r="Z43" s="30">
        <f>IF(K11&lt;12,98,0)</f>
        <v>98</v>
      </c>
      <c r="AA43" s="30">
        <f>Z6</f>
        <v>0</v>
      </c>
      <c r="AE43" s="44">
        <v>200</v>
      </c>
      <c r="AF43" s="48"/>
      <c r="AG43" s="23"/>
      <c r="AH43" s="23"/>
      <c r="AI43" s="23"/>
      <c r="AJ43" s="23"/>
      <c r="AK43" s="23"/>
      <c r="AL43" s="23">
        <v>16</v>
      </c>
      <c r="AM43" s="49">
        <v>8</v>
      </c>
      <c r="AN43" s="44">
        <v>200</v>
      </c>
      <c r="AQ43" s="30">
        <v>0</v>
      </c>
      <c r="AS43" s="30">
        <v>0</v>
      </c>
      <c r="AT43" s="30" t="e">
        <f>IF(K11*(AU15/AT15)&lt;=AS43,AQ43,AT44)</f>
        <v>#DIV/0!</v>
      </c>
      <c r="AU43" s="30">
        <v>0</v>
      </c>
      <c r="AV43" s="30" t="e">
        <f>IF(K11*(2/AT15)&lt;=AU43,AQ43,AV44)</f>
        <v>#DIV/0!</v>
      </c>
      <c r="AW43" s="30">
        <v>0</v>
      </c>
      <c r="AX43" s="30" t="e">
        <f>IF(K11*(2/AT15)&lt;=AW43,AQ43,AX44)</f>
        <v>#DIV/0!</v>
      </c>
      <c r="AY43" s="46">
        <v>0</v>
      </c>
      <c r="AZ43" s="30" t="e">
        <f>IF(K11*(2/AT15)&lt;=AY43,AQ43,AZ44)</f>
        <v>#DIV/0!</v>
      </c>
      <c r="BB43" s="30">
        <v>0</v>
      </c>
      <c r="BC43" s="30">
        <f>IF(K11&lt;=BB43,AQ43,BC44)</f>
        <v>0</v>
      </c>
      <c r="BE43" s="46">
        <v>0</v>
      </c>
      <c r="BF43" s="30">
        <f>IF(K11&lt;=BE43,AQ43,BF44)</f>
        <v>0</v>
      </c>
      <c r="BG43" s="46">
        <v>0</v>
      </c>
      <c r="BH43" s="30">
        <f>IF(K11&lt;=BG43,AQ43,BH44)</f>
        <v>0</v>
      </c>
      <c r="BI43" s="31"/>
      <c r="BK43" s="30" t="s">
        <v>15</v>
      </c>
      <c r="BM43" s="30">
        <f>K15</f>
        <v>0</v>
      </c>
      <c r="BV43" s="30">
        <v>5</v>
      </c>
      <c r="BW43" s="49">
        <v>0</v>
      </c>
      <c r="BX43" s="30" t="e">
        <f>IF(K11/AT15&lt;BW43,BV43,BX44)</f>
        <v>#DIV/0!</v>
      </c>
    </row>
    <row r="44" spans="1:76" ht="15.95" customHeight="1">
      <c r="O44" s="31"/>
      <c r="P44" s="31"/>
      <c r="Q44" s="31"/>
      <c r="R44" s="31"/>
      <c r="S44" s="31"/>
      <c r="T44" s="31"/>
      <c r="U44" s="31"/>
      <c r="V44" s="31"/>
      <c r="Z44" s="30">
        <f>Z42+Z43</f>
        <v>98</v>
      </c>
      <c r="AA44" s="30" t="e">
        <f>(AA41+AA42+AA43)</f>
        <v>#DIV/0!</v>
      </c>
      <c r="AE44" s="44">
        <v>205</v>
      </c>
      <c r="AF44" s="48"/>
      <c r="AG44" s="23"/>
      <c r="AH44" s="23"/>
      <c r="AI44" s="23"/>
      <c r="AJ44" s="23"/>
      <c r="AK44" s="23"/>
      <c r="AL44" s="23">
        <v>17</v>
      </c>
      <c r="AM44" s="49">
        <v>8.5</v>
      </c>
      <c r="AN44" s="44">
        <v>205</v>
      </c>
      <c r="AQ44" s="30">
        <v>5</v>
      </c>
      <c r="AS44" s="30">
        <v>1.5</v>
      </c>
      <c r="AT44" s="30" t="e">
        <f>IF(K11*(AU15/AT15)&lt;=AS44,AQ44,AT45)</f>
        <v>#DIV/0!</v>
      </c>
      <c r="AU44" s="30">
        <v>1</v>
      </c>
      <c r="AV44" s="30" t="e">
        <f>IF(K11*(2/AT15)&lt;=AU44,AQ44,AV45)</f>
        <v>#DIV/0!</v>
      </c>
      <c r="AW44" s="30">
        <v>1</v>
      </c>
      <c r="AX44" s="30" t="e">
        <f>IF(K11*(2/AT15)&lt;=AW44,AQ44,AX45)</f>
        <v>#DIV/0!</v>
      </c>
      <c r="AY44" s="23">
        <v>1</v>
      </c>
      <c r="AZ44" s="30" t="e">
        <f>IF(K11*(2/AT15)&lt;=AY44,AQ44,AZ45)</f>
        <v>#DIV/0!</v>
      </c>
      <c r="BB44" s="30">
        <v>1.5</v>
      </c>
      <c r="BC44" s="30">
        <f>IF(K11&lt;=BB44,AQ44,BC45)</f>
        <v>5</v>
      </c>
      <c r="BE44" s="23">
        <v>1</v>
      </c>
      <c r="BF44" s="30">
        <f>IF(K11&lt;=BE44,AQ44,BF45)</f>
        <v>5</v>
      </c>
      <c r="BG44" s="23">
        <v>1</v>
      </c>
      <c r="BH44" s="30">
        <f>IF(K11&lt;=BG44,AQ44,BH45)</f>
        <v>5</v>
      </c>
      <c r="BI44" s="31"/>
      <c r="BK44" s="30" t="s">
        <v>1</v>
      </c>
      <c r="BM44" s="30" t="str">
        <f>IF( BM42=BN41," ",IF(BM43=BN41," ",BO44))</f>
        <v xml:space="preserve"> </v>
      </c>
      <c r="BO44" s="30" t="e">
        <f>ROUND(BM42/BM43,2)</f>
        <v>#DIV/0!</v>
      </c>
      <c r="BV44" s="30">
        <v>10</v>
      </c>
      <c r="BW44" s="49">
        <v>0.5</v>
      </c>
      <c r="BX44" s="30" t="e">
        <f>IF(K11/AT15&lt;BW44,BV44,BX45)</f>
        <v>#DIV/0!</v>
      </c>
    </row>
    <row r="45" spans="1:76" ht="15.95" customHeight="1">
      <c r="O45" s="31"/>
      <c r="P45" s="31"/>
      <c r="Q45" s="31"/>
      <c r="R45" s="31"/>
      <c r="S45" s="31"/>
      <c r="T45" s="31"/>
      <c r="U45" s="31"/>
      <c r="V45" s="31"/>
      <c r="AA45" s="30" t="e">
        <f>IF(AA44&lt;K7,99,0)</f>
        <v>#DIV/0!</v>
      </c>
      <c r="AE45" s="44">
        <v>210</v>
      </c>
      <c r="AF45" s="48"/>
      <c r="AG45" s="23"/>
      <c r="AH45" s="23"/>
      <c r="AI45" s="23"/>
      <c r="AJ45" s="23"/>
      <c r="AK45" s="23"/>
      <c r="AL45" s="23">
        <v>18</v>
      </c>
      <c r="AM45" s="49">
        <v>8.5</v>
      </c>
      <c r="AN45" s="44">
        <v>210</v>
      </c>
      <c r="AQ45" s="30">
        <v>10</v>
      </c>
      <c r="AS45" s="30">
        <v>3.5</v>
      </c>
      <c r="AT45" s="30" t="e">
        <f>IF(K11*(AU15/AT15)&lt;=AS45,AQ45,AT46)</f>
        <v>#DIV/0!</v>
      </c>
      <c r="AU45" s="30">
        <v>2.5</v>
      </c>
      <c r="AV45" s="30" t="e">
        <f>IF(K11*(2/AT15)&lt;=AU45,AQ45,AV46)</f>
        <v>#DIV/0!</v>
      </c>
      <c r="AW45" s="30">
        <v>1.5</v>
      </c>
      <c r="AX45" s="30" t="e">
        <f>IF(K11*(2/AT15)&lt;=AW45,AQ45,AX46)</f>
        <v>#DIV/0!</v>
      </c>
      <c r="AY45" s="23">
        <v>1.5</v>
      </c>
      <c r="AZ45" s="30" t="e">
        <f>IF(K11*(2/AT15)&lt;=AY45,AQ45,AZ46)</f>
        <v>#DIV/0!</v>
      </c>
      <c r="BB45" s="30">
        <v>3.5</v>
      </c>
      <c r="BC45" s="30">
        <f>IF(K11&lt;=BB45,AQ45,BC46)</f>
        <v>10</v>
      </c>
      <c r="BE45" s="23">
        <v>2.5</v>
      </c>
      <c r="BF45" s="30">
        <f>IF(K11&lt;=BE45,AQ45,BF46)</f>
        <v>10</v>
      </c>
      <c r="BG45" s="23">
        <v>1.5</v>
      </c>
      <c r="BH45" s="30">
        <f>IF(K11&lt;=BG45,AQ45,BH46)</f>
        <v>10</v>
      </c>
      <c r="BI45" s="31"/>
      <c r="BK45" s="30" t="e">
        <f>(BO44^(1/4))</f>
        <v>#DIV/0!</v>
      </c>
      <c r="BV45" s="30">
        <v>15</v>
      </c>
      <c r="BW45" s="49">
        <v>0.5</v>
      </c>
      <c r="BX45" s="30" t="e">
        <f>IF(K11/AT15&lt;BW45,BV45,BX46)</f>
        <v>#DIV/0!</v>
      </c>
    </row>
    <row r="46" spans="1:76">
      <c r="O46" s="31"/>
      <c r="P46" s="31"/>
      <c r="Q46" s="31"/>
      <c r="R46" s="31"/>
      <c r="S46" s="31"/>
      <c r="T46" s="31"/>
      <c r="U46" s="31"/>
      <c r="V46" s="31"/>
      <c r="AE46" s="44">
        <v>215</v>
      </c>
      <c r="AF46" s="48"/>
      <c r="AG46" s="23"/>
      <c r="AH46" s="23"/>
      <c r="AI46" s="23"/>
      <c r="AJ46" s="23"/>
      <c r="AK46" s="23"/>
      <c r="AL46" s="23">
        <v>19</v>
      </c>
      <c r="AM46" s="49">
        <v>9</v>
      </c>
      <c r="AN46" s="44">
        <v>215</v>
      </c>
      <c r="AQ46" s="30">
        <v>15</v>
      </c>
      <c r="AS46" s="30">
        <v>5</v>
      </c>
      <c r="AT46" s="30" t="e">
        <f>IF(K11*(AU15/AT15)&lt;=AS46,AQ46,AT47)</f>
        <v>#DIV/0!</v>
      </c>
      <c r="AU46" s="30">
        <v>3.5</v>
      </c>
      <c r="AV46" s="30" t="e">
        <f>IF(K11*(2/AT15)&lt;=AU46,AQ46,AV47)</f>
        <v>#DIV/0!</v>
      </c>
      <c r="AW46" s="30">
        <v>2</v>
      </c>
      <c r="AX46" s="30" t="e">
        <f>IF(K11*(2/AT15)&lt;=AW46,AQ46,AX47)</f>
        <v>#DIV/0!</v>
      </c>
      <c r="AY46" s="23">
        <v>2</v>
      </c>
      <c r="AZ46" s="30" t="e">
        <f>IF(K11*(2/AT15)&lt;=AY46,AQ46,AZ47)</f>
        <v>#DIV/0!</v>
      </c>
      <c r="BB46" s="30">
        <v>5</v>
      </c>
      <c r="BC46" s="30">
        <f>IF(K11&lt;=BB46,AQ46,BC47)</f>
        <v>15</v>
      </c>
      <c r="BE46" s="23">
        <v>3.5</v>
      </c>
      <c r="BF46" s="30">
        <f>IF(K11&lt;=BE46,AQ46,BF47)</f>
        <v>15</v>
      </c>
      <c r="BG46" s="23">
        <v>2</v>
      </c>
      <c r="BH46" s="30">
        <f>IF(K11&lt;=BG46,AQ46,BH47)</f>
        <v>15</v>
      </c>
      <c r="BI46" s="31"/>
      <c r="BK46" s="30" t="str">
        <f>IF(BM42=BU41," ",IF(BM43=BQ41," ",BO47))</f>
        <v xml:space="preserve"> </v>
      </c>
      <c r="BO46" s="30" t="e">
        <f>IF(BO44&lt;=4,ROUND(BK45,0),ROUNDUP(BK45,0))</f>
        <v>#DIV/0!</v>
      </c>
      <c r="BP46" s="30" t="e">
        <f>BK45</f>
        <v>#DIV/0!</v>
      </c>
      <c r="BV46" s="30">
        <v>20</v>
      </c>
      <c r="BW46" s="49">
        <v>1</v>
      </c>
      <c r="BX46" s="30" t="e">
        <f>IF(K11/AT15&lt;BW46,BV46,BX47)</f>
        <v>#DIV/0!</v>
      </c>
    </row>
    <row r="47" spans="1:76">
      <c r="P47" s="31"/>
      <c r="Q47" s="31"/>
      <c r="R47" s="31"/>
      <c r="S47" s="31"/>
      <c r="T47" s="31"/>
      <c r="U47" s="31"/>
      <c r="V47" s="31"/>
      <c r="AE47" s="44">
        <v>220</v>
      </c>
      <c r="AF47" s="48"/>
      <c r="AG47" s="23"/>
      <c r="AH47" s="23"/>
      <c r="AI47" s="23"/>
      <c r="AJ47" s="23"/>
      <c r="AK47" s="23"/>
      <c r="AL47" s="23">
        <v>19.5</v>
      </c>
      <c r="AM47" s="49">
        <v>9</v>
      </c>
      <c r="AN47" s="44">
        <v>220</v>
      </c>
      <c r="AQ47" s="30">
        <v>20</v>
      </c>
      <c r="AS47" s="30">
        <v>7</v>
      </c>
      <c r="AT47" s="30" t="e">
        <f>IF(K11*(AU15/AT15)&lt;=AS47,AQ47,AT48)</f>
        <v>#DIV/0!</v>
      </c>
      <c r="AU47" s="30">
        <v>4.5</v>
      </c>
      <c r="AV47" s="30" t="e">
        <f>IF(K11*(2/AT15)&lt;=AU47,AQ47,AV48)</f>
        <v>#DIV/0!</v>
      </c>
      <c r="AW47" s="30">
        <v>3</v>
      </c>
      <c r="AX47" s="30" t="e">
        <f>IF(K11*(2/AT15)&lt;=AW47,AQ47,AX48)</f>
        <v>#DIV/0!</v>
      </c>
      <c r="AY47" s="23">
        <v>2.5</v>
      </c>
      <c r="AZ47" s="30" t="e">
        <f>IF(K11*(2/AT15)&lt;=AY47,AQ47,AZ48)</f>
        <v>#DIV/0!</v>
      </c>
      <c r="BB47" s="30">
        <v>7</v>
      </c>
      <c r="BC47" s="30">
        <f>IF(K11&lt;=BB47,AQ47,BC48)</f>
        <v>20</v>
      </c>
      <c r="BE47" s="23">
        <v>4.5</v>
      </c>
      <c r="BF47" s="30">
        <f>IF(K11&lt;=BE47,AQ47,BF48)</f>
        <v>20</v>
      </c>
      <c r="BG47" s="23">
        <v>3</v>
      </c>
      <c r="BH47" s="30">
        <f>IF(K11&lt;=BG47,AQ47,BH48)</f>
        <v>20</v>
      </c>
      <c r="BI47" s="31"/>
      <c r="BK47" s="30" t="s">
        <v>36</v>
      </c>
      <c r="BM47" s="30">
        <f>IF( BM42=BN41,0,IF(BM43=BQ41," ",BO46))</f>
        <v>0</v>
      </c>
      <c r="BO47" s="30" t="e">
        <f>IF(BO44&gt;4,"Step Reduction is Needed","No Step Reduction is Needed")</f>
        <v>#DIV/0!</v>
      </c>
      <c r="BV47" s="30">
        <v>25</v>
      </c>
      <c r="BW47" s="49">
        <v>1</v>
      </c>
      <c r="BX47" s="30" t="e">
        <f>IF(K11/AT15&lt;BW47,BV47,BX48)</f>
        <v>#DIV/0!</v>
      </c>
    </row>
    <row r="48" spans="1:76">
      <c r="P48" s="31"/>
      <c r="Q48" s="31"/>
      <c r="R48" s="31"/>
      <c r="S48" s="31"/>
      <c r="T48" s="31"/>
      <c r="U48" s="31"/>
      <c r="V48" s="31"/>
      <c r="Z48" s="30" t="e">
        <f>IF(AA45=99,99,(IF(Y4=0,0,IF(Y13=4,99,Y28))))</f>
        <v>#DIV/0!</v>
      </c>
      <c r="AE48" s="44">
        <v>225</v>
      </c>
      <c r="AF48" s="48"/>
      <c r="AG48" s="23"/>
      <c r="AH48" s="23"/>
      <c r="AI48" s="23"/>
      <c r="AJ48" s="23"/>
      <c r="AK48" s="23"/>
      <c r="AL48" s="23">
        <v>20</v>
      </c>
      <c r="AM48" s="49">
        <v>9.5</v>
      </c>
      <c r="AN48" s="44">
        <v>225</v>
      </c>
      <c r="AQ48" s="30">
        <v>25</v>
      </c>
      <c r="AS48" s="30">
        <v>9</v>
      </c>
      <c r="AT48" s="30" t="e">
        <f>IF(K11*(AU15/AT15)&lt;=AS48,AQ48,AT49)</f>
        <v>#DIV/0!</v>
      </c>
      <c r="AU48" s="30">
        <v>5.5</v>
      </c>
      <c r="AV48" s="30" t="e">
        <f>IF(K11*(2/AT15)&lt;=AU48,AQ48,AV49)</f>
        <v>#DIV/0!</v>
      </c>
      <c r="AW48" s="30">
        <v>3.5</v>
      </c>
      <c r="AX48" s="30" t="e">
        <f>IF(K11*(2/AT15)&lt;=AW48,AQ48,AX49)</f>
        <v>#DIV/0!</v>
      </c>
      <c r="AY48" s="23">
        <v>3</v>
      </c>
      <c r="AZ48" s="30" t="e">
        <f>IF(K11*(2/AT15)&lt;=AY48,AQ48,AZ49)</f>
        <v>#DIV/0!</v>
      </c>
      <c r="BB48" s="30">
        <v>9</v>
      </c>
      <c r="BC48" s="30">
        <f>IF(K11&lt;=BB48,AQ48,BC49)</f>
        <v>25</v>
      </c>
      <c r="BE48" s="23">
        <v>5.5</v>
      </c>
      <c r="BF48" s="30">
        <f>IF(K11&lt;=BE48,AQ48,BF49)</f>
        <v>25</v>
      </c>
      <c r="BG48" s="23">
        <v>3.5</v>
      </c>
      <c r="BH48" s="30">
        <f>IF(K11&lt;=BG48,AQ48,BH49)</f>
        <v>25</v>
      </c>
      <c r="BI48" s="31"/>
      <c r="BK48" s="30">
        <f>IF(BM43=0,0,IF(BM47&gt;=1,"First Step",0))</f>
        <v>0</v>
      </c>
      <c r="BL48" s="30">
        <f>IF(BM42=BU41,0,IF(BM43=0,0,IF(BM48=0," ",IF(BM48&lt;25,"Low Range",IF(BM48&gt;80,"High Range",BP48)))))</f>
        <v>0</v>
      </c>
      <c r="BM48" s="30">
        <f>IF(BM42=BU41,0,IF(BM43=0,0,IF(BM43=BQ41," ",BQ48)))</f>
        <v>0</v>
      </c>
      <c r="BN48" s="30">
        <f>IF(BM48=0,0,"(PSI)")</f>
        <v>0</v>
      </c>
      <c r="BP48" s="30" t="e">
        <f>IF(BR48&gt;=BM43,"Step Required","Step Required")</f>
        <v>#DIV/0!</v>
      </c>
      <c r="BQ48" s="30" t="e">
        <f>IF(BP48="Step Required",BR48,BM43)</f>
        <v>#DIV/0!</v>
      </c>
      <c r="BR48" s="30" t="e">
        <f>ROUNDUP(BS48,0.5)</f>
        <v>#DIV/0!</v>
      </c>
      <c r="BS48" s="30" t="e">
        <f>IF(BT48&gt;125,125,BT48)</f>
        <v>#DIV/0!</v>
      </c>
      <c r="BT48" s="30" t="e">
        <f>IF(BO47="Step Reduction is Needed",BM42/((BO44)^(1/BO46)),BM43)</f>
        <v>#DIV/0!</v>
      </c>
      <c r="BV48" s="30">
        <v>30</v>
      </c>
      <c r="BW48" s="49">
        <v>1</v>
      </c>
      <c r="BX48" s="30" t="e">
        <f>IF(K11/AT15&lt;BW48,BV48,BX49)</f>
        <v>#DIV/0!</v>
      </c>
    </row>
    <row r="49" spans="16:76">
      <c r="P49" s="31"/>
      <c r="Q49" s="31"/>
      <c r="R49" s="31"/>
      <c r="S49" s="31"/>
      <c r="T49" s="31"/>
      <c r="U49" s="31"/>
      <c r="V49" s="31"/>
      <c r="AE49" s="44">
        <v>230</v>
      </c>
      <c r="AF49" s="48"/>
      <c r="AG49" s="23"/>
      <c r="AH49" s="23"/>
      <c r="AI49" s="23"/>
      <c r="AJ49" s="23"/>
      <c r="AK49" s="23"/>
      <c r="AL49" s="23"/>
      <c r="AM49" s="49">
        <v>9.5</v>
      </c>
      <c r="AN49" s="44">
        <v>230</v>
      </c>
      <c r="AQ49" s="30">
        <v>30</v>
      </c>
      <c r="AS49" s="30">
        <v>11</v>
      </c>
      <c r="AT49" s="30" t="e">
        <f>IF(K11*(AU15/AT15)&lt;=AS49,AQ49,AT50)</f>
        <v>#DIV/0!</v>
      </c>
      <c r="AU49" s="30">
        <v>7</v>
      </c>
      <c r="AV49" s="30" t="e">
        <f>IF(K11*(2/AT15)&lt;=AU49,AQ49,AV50)</f>
        <v>#DIV/0!</v>
      </c>
      <c r="AW49" s="30">
        <v>4</v>
      </c>
      <c r="AX49" s="30" t="e">
        <f>IF(K11*(2/AT15)&lt;=AW49,AQ49,AX50)</f>
        <v>#DIV/0!</v>
      </c>
      <c r="AY49" s="23">
        <v>3.5</v>
      </c>
      <c r="AZ49" s="30" t="e">
        <f>IF(K11*(2/AT15)&lt;=AY49,AQ49,AZ50)</f>
        <v>#DIV/0!</v>
      </c>
      <c r="BB49" s="30">
        <v>11</v>
      </c>
      <c r="BC49" s="30">
        <f>IF(K11&lt;=BB49,AQ49,BC50)</f>
        <v>30</v>
      </c>
      <c r="BE49" s="23">
        <v>7</v>
      </c>
      <c r="BF49" s="30">
        <f>IF(K11&lt;=BE49,AQ49,BF50)</f>
        <v>30</v>
      </c>
      <c r="BG49" s="23">
        <v>4</v>
      </c>
      <c r="BH49" s="30">
        <f>IF(K11&lt;=BG49,AQ49,BH50)</f>
        <v>30</v>
      </c>
      <c r="BI49" s="31"/>
      <c r="BK49" s="30">
        <f>IF(BM43=0,0,IF(BM47&gt;=2,"Second Step",0))</f>
        <v>0</v>
      </c>
      <c r="BL49" s="30">
        <f>IF(BM42=0,0,IF(BM44=" ",0,IF(BM49=0,0,IF(BM49&lt;25,"Low Range",IF(BM49&gt;80,"High Range",BP49)))))</f>
        <v>0</v>
      </c>
      <c r="BM49" s="30">
        <f>IF( BM42=BU41,0,IF(BM43=0,0,IF(BM43=BQ41," ",BQ49)))</f>
        <v>0</v>
      </c>
      <c r="BN49" s="30">
        <f t="shared" ref="BN49:BN50" si="0">IF(BM49=0,0,"(PSI)")</f>
        <v>0</v>
      </c>
      <c r="BP49" s="30" t="e">
        <f>IF(BR49&gt;=BM43,"Step Required","Step Not Required")</f>
        <v>#DIV/0!</v>
      </c>
      <c r="BQ49" s="30" t="e">
        <f>IF(BP49="Step Required",BR49,0)</f>
        <v>#DIV/0!</v>
      </c>
      <c r="BR49" s="30" t="e">
        <f>ROUNDUP(BT49,0)</f>
        <v>#DIV/0!</v>
      </c>
      <c r="BT49" s="30" t="e">
        <f>BT48/((BO44)^(1/BO46))</f>
        <v>#DIV/0!</v>
      </c>
      <c r="BV49" s="30">
        <v>35</v>
      </c>
      <c r="BW49" s="49">
        <v>1.5</v>
      </c>
      <c r="BX49" s="30" t="e">
        <f>IF(K11/AT15&lt;BW49,BV49,BX50)</f>
        <v>#DIV/0!</v>
      </c>
    </row>
    <row r="50" spans="16:76" ht="15" customHeight="1">
      <c r="P50" s="31"/>
      <c r="Q50" s="31"/>
      <c r="R50" s="31"/>
      <c r="S50" s="31"/>
      <c r="T50" s="31"/>
      <c r="U50" s="31"/>
      <c r="V50" s="31"/>
      <c r="Z50" s="30" t="e">
        <f>IF(Z48=99,"ERROR",IF(Z48=33,"Figure9",IF(Z48=22,"Figure8",IF(Z48=15,"Figure7",IF(Z48=11,"Figure6",IF(Z48=10,"Figure5",IF(Z48=5,"Figure4",IF(Z48=3,"Figure3",IF(Z48=2,"Figure2",IF(Z48=1,"Figure1","Figure0"))))))))))</f>
        <v>#DIV/0!</v>
      </c>
      <c r="AE50" s="44">
        <v>235</v>
      </c>
      <c r="AF50" s="48"/>
      <c r="AG50" s="23"/>
      <c r="AH50" s="23"/>
      <c r="AI50" s="23"/>
      <c r="AJ50" s="23"/>
      <c r="AK50" s="23"/>
      <c r="AL50" s="23"/>
      <c r="AM50" s="49">
        <v>10</v>
      </c>
      <c r="AN50" s="44">
        <v>235</v>
      </c>
      <c r="AQ50" s="30">
        <v>35</v>
      </c>
      <c r="AS50" s="30">
        <v>13</v>
      </c>
      <c r="AT50" s="30" t="e">
        <f>IF(K11*(AU15/AT15)&lt;=AS50,AQ50,AT51)</f>
        <v>#DIV/0!</v>
      </c>
      <c r="AU50" s="30">
        <v>8</v>
      </c>
      <c r="AV50" s="30" t="e">
        <f>IF(K11*(2/AT15)&lt;=AU50,AQ50,AV51)</f>
        <v>#DIV/0!</v>
      </c>
      <c r="AW50" s="30">
        <v>5</v>
      </c>
      <c r="AX50" s="30" t="e">
        <f>IF(K11*(2/AT15)&lt;=AW50,AQ50,AX51)</f>
        <v>#DIV/0!</v>
      </c>
      <c r="AY50" s="23">
        <v>4</v>
      </c>
      <c r="AZ50" s="30" t="e">
        <f>IF(K11*(2/AT15)&lt;=AY50,AQ50,AZ51)</f>
        <v>#DIV/0!</v>
      </c>
      <c r="BB50" s="30">
        <v>13</v>
      </c>
      <c r="BC50" s="30">
        <f>IF(K11&lt;=BB50,AQ50,BC51)</f>
        <v>35</v>
      </c>
      <c r="BE50" s="23">
        <v>8</v>
      </c>
      <c r="BF50" s="30">
        <f>IF(K11&lt;=BE50,AQ50,BF51)</f>
        <v>35</v>
      </c>
      <c r="BG50" s="23">
        <v>5</v>
      </c>
      <c r="BH50" s="30">
        <f>IF(K11&lt;=BG50,AQ50,BH51)</f>
        <v>35</v>
      </c>
      <c r="BI50" s="31"/>
      <c r="BK50" s="30">
        <f>IF( BM43=0,0,IF(BM47&gt;=3,"Third Step",0))</f>
        <v>0</v>
      </c>
      <c r="BL50" s="30">
        <f>IF(BM42=0,0,IF(BM44=" ",0,IF(BM50=0,0,IF(BM50&lt;25,"Low Range",IF(BM50&gt;80,"High Range",BP50)))))</f>
        <v>0</v>
      </c>
      <c r="BM50" s="30">
        <f>IF(BM42=BQ41,0,IF(BM43=0,0,IF(BM43=BQ41," ",BQ50)))</f>
        <v>0</v>
      </c>
      <c r="BN50" s="30">
        <f t="shared" si="0"/>
        <v>0</v>
      </c>
      <c r="BP50" s="30" t="e">
        <f>IF(BR50&gt;=BM43,"Step Required","Step Not Required")</f>
        <v>#DIV/0!</v>
      </c>
      <c r="BQ50" s="30" t="e">
        <f>IF(BP50="Step Required",BR50,0)</f>
        <v>#DIV/0!</v>
      </c>
      <c r="BR50" s="30" t="e">
        <f>ROUNDUP(BT50,0)</f>
        <v>#DIV/0!</v>
      </c>
      <c r="BT50" s="30" t="e">
        <f>BT49/((BO44)^(1/BO46))</f>
        <v>#DIV/0!</v>
      </c>
      <c r="BV50" s="30">
        <v>40</v>
      </c>
      <c r="BW50" s="49">
        <v>1.5</v>
      </c>
      <c r="BX50" s="30" t="e">
        <f>IF(K11/AT15&lt;BW50,BV50,BX51)</f>
        <v>#DIV/0!</v>
      </c>
    </row>
    <row r="51" spans="16:76" ht="15" customHeight="1">
      <c r="P51" s="31"/>
      <c r="Q51" s="31"/>
      <c r="R51" s="31"/>
      <c r="S51" s="31"/>
      <c r="T51" s="31"/>
      <c r="U51" s="31"/>
      <c r="V51" s="31"/>
      <c r="AE51" s="44">
        <v>240</v>
      </c>
      <c r="AF51" s="48"/>
      <c r="AG51" s="23"/>
      <c r="AH51" s="23"/>
      <c r="AI51" s="23"/>
      <c r="AJ51" s="23"/>
      <c r="AK51" s="23"/>
      <c r="AL51" s="23"/>
      <c r="AM51" s="49">
        <v>10</v>
      </c>
      <c r="AN51" s="44">
        <v>240</v>
      </c>
      <c r="AQ51" s="30">
        <v>40</v>
      </c>
      <c r="AS51" s="30">
        <v>15</v>
      </c>
      <c r="AT51" s="30" t="e">
        <f>IF(K11*(AU15/AT15)&lt;=AS51,AQ51,AT52)</f>
        <v>#DIV/0!</v>
      </c>
      <c r="AU51" s="30">
        <v>9.5</v>
      </c>
      <c r="AV51" s="30" t="e">
        <f>IF(K11*(2/AT15)&lt;=AU51,AQ51,AV52)</f>
        <v>#DIV/0!</v>
      </c>
      <c r="AW51" s="30">
        <v>6</v>
      </c>
      <c r="AX51" s="30" t="e">
        <f>IF(K11*(2/AT15)&lt;=AW51,AQ51,AX52)</f>
        <v>#DIV/0!</v>
      </c>
      <c r="AY51" s="23">
        <v>4.5</v>
      </c>
      <c r="AZ51" s="30" t="e">
        <f>IF(K11*(2/AT15)&lt;=AY51,AQ51,AZ52)</f>
        <v>#DIV/0!</v>
      </c>
      <c r="BB51" s="30">
        <v>15</v>
      </c>
      <c r="BC51" s="30">
        <f>IF(K11&lt;=BB51,AQ51,BC52)</f>
        <v>40</v>
      </c>
      <c r="BE51" s="23">
        <v>9.5</v>
      </c>
      <c r="BF51" s="30">
        <f>IF(K11&lt;=BE51,AQ51,BF52)</f>
        <v>40</v>
      </c>
      <c r="BG51" s="23">
        <v>6</v>
      </c>
      <c r="BH51" s="30">
        <f>IF(K11&lt;=BG51,AQ51,BH52)</f>
        <v>40</v>
      </c>
      <c r="BI51" s="31"/>
      <c r="BV51" s="30">
        <v>45</v>
      </c>
      <c r="BW51" s="49">
        <v>2</v>
      </c>
      <c r="BX51" s="30" t="e">
        <f>IF(K11/AT15&lt;BW51,BV51,BX52)</f>
        <v>#DIV/0!</v>
      </c>
    </row>
    <row r="52" spans="16:76" ht="15" customHeight="1">
      <c r="P52" s="31"/>
      <c r="Q52" s="31"/>
      <c r="R52" s="31"/>
      <c r="S52" s="31"/>
      <c r="T52" s="31"/>
      <c r="U52" s="24"/>
      <c r="V52" s="31"/>
      <c r="AE52" s="44">
        <v>245</v>
      </c>
      <c r="AF52" s="48"/>
      <c r="AG52" s="23"/>
      <c r="AH52" s="23"/>
      <c r="AI52" s="23"/>
      <c r="AJ52" s="23"/>
      <c r="AK52" s="23"/>
      <c r="AL52" s="23"/>
      <c r="AM52" s="49">
        <v>10.5</v>
      </c>
      <c r="AN52" s="44">
        <v>245</v>
      </c>
      <c r="AQ52" s="30">
        <v>45</v>
      </c>
      <c r="AS52" s="30">
        <v>18</v>
      </c>
      <c r="AT52" s="30" t="e">
        <f>IF(K11*(AU15/AT15)&lt;=AS52,AQ52,AT53)</f>
        <v>#DIV/0!</v>
      </c>
      <c r="AU52" s="30">
        <v>10.5</v>
      </c>
      <c r="AV52" s="30" t="e">
        <f>IF(K11*(2/AT15)&lt;=AU52,AQ52,AV53)</f>
        <v>#DIV/0!</v>
      </c>
      <c r="AW52" s="30">
        <v>7</v>
      </c>
      <c r="AX52" s="30" t="e">
        <f>IF(K11*(2/AT15)&lt;=AW52,AQ52,AX53)</f>
        <v>#DIV/0!</v>
      </c>
      <c r="AY52" s="23">
        <v>5</v>
      </c>
      <c r="AZ52" s="30" t="e">
        <f>IF(K11*(2/AT15)&lt;=AY52,AQ52,AZ53)</f>
        <v>#DIV/0!</v>
      </c>
      <c r="BB52" s="30">
        <v>18</v>
      </c>
      <c r="BC52" s="30">
        <f>IF(K11&lt;=BB52,AQ52,BC53)</f>
        <v>45</v>
      </c>
      <c r="BE52" s="23">
        <v>10.5</v>
      </c>
      <c r="BF52" s="30">
        <f>IF(K11&lt;=BE52,AQ52,BF53)</f>
        <v>45</v>
      </c>
      <c r="BG52" s="23">
        <v>7</v>
      </c>
      <c r="BH52" s="30">
        <f>IF(K11&lt;=BG52,AQ52,BH53)</f>
        <v>45</v>
      </c>
      <c r="BI52" s="31"/>
      <c r="BV52" s="30">
        <v>50</v>
      </c>
      <c r="BW52" s="49">
        <v>2</v>
      </c>
      <c r="BX52" s="30" t="e">
        <f>IF(K11/AT15&lt;BW52,BV52,BX53)</f>
        <v>#DIV/0!</v>
      </c>
    </row>
    <row r="53" spans="16:76">
      <c r="P53" s="31"/>
      <c r="Q53" s="31"/>
      <c r="R53" s="31"/>
      <c r="S53" s="31"/>
      <c r="T53" s="31"/>
      <c r="U53" s="31"/>
      <c r="V53" s="31"/>
      <c r="AE53" s="44">
        <v>250</v>
      </c>
      <c r="AF53" s="48"/>
      <c r="AG53" s="23"/>
      <c r="AH53" s="23"/>
      <c r="AI53" s="23"/>
      <c r="AJ53" s="23"/>
      <c r="AK53" s="23"/>
      <c r="AL53" s="23"/>
      <c r="AM53" s="49">
        <v>11</v>
      </c>
      <c r="AN53" s="44">
        <v>250</v>
      </c>
      <c r="AQ53" s="30">
        <v>50</v>
      </c>
      <c r="AS53" s="30">
        <v>21</v>
      </c>
      <c r="AT53" s="30" t="e">
        <f>IF(K11*(AU15/AT15)&lt;=AS53,AQ53,AT54)</f>
        <v>#DIV/0!</v>
      </c>
      <c r="AU53" s="30">
        <v>12.5</v>
      </c>
      <c r="AV53" s="30" t="e">
        <f>IF(K11*(2/AT15)&lt;=AU53,AQ53,AV54)</f>
        <v>#DIV/0!</v>
      </c>
      <c r="AW53" s="30">
        <v>7.5</v>
      </c>
      <c r="AX53" s="30" t="e">
        <f>IF(K11*(2/AT15)&lt;=AW53,AQ53,AX54)</f>
        <v>#DIV/0!</v>
      </c>
      <c r="AY53" s="23">
        <v>5.5</v>
      </c>
      <c r="AZ53" s="30" t="e">
        <f>IF(K11*(2/AT15)&lt;=AY53,AQ53,AZ54)</f>
        <v>#DIV/0!</v>
      </c>
      <c r="BB53" s="30">
        <v>21</v>
      </c>
      <c r="BC53" s="30">
        <f>IF(K11&lt;=BB53,AQ53,BC54)</f>
        <v>50</v>
      </c>
      <c r="BE53" s="23">
        <v>12.5</v>
      </c>
      <c r="BF53" s="30">
        <f>IF(K11&lt;=BE53,AQ53,BF54)</f>
        <v>50</v>
      </c>
      <c r="BG53" s="23">
        <v>7.5</v>
      </c>
      <c r="BH53" s="30">
        <f>IF(K11&lt;=BG53,AQ53,BH54)</f>
        <v>50</v>
      </c>
      <c r="BI53" s="31"/>
      <c r="BV53" s="30">
        <v>55</v>
      </c>
      <c r="BW53" s="49">
        <v>2</v>
      </c>
      <c r="BX53" s="30" t="e">
        <f>IF(K11/AT15&lt;BW53,BV53,BX54)</f>
        <v>#DIV/0!</v>
      </c>
    </row>
    <row r="54" spans="16:76">
      <c r="P54" s="31"/>
      <c r="Q54" s="31"/>
      <c r="R54" s="31"/>
      <c r="S54" s="31"/>
      <c r="T54" s="31"/>
      <c r="U54" s="31"/>
      <c r="V54" s="31"/>
      <c r="AE54" s="44">
        <v>255</v>
      </c>
      <c r="AF54" s="48"/>
      <c r="AG54" s="23"/>
      <c r="AH54" s="23"/>
      <c r="AI54" s="23"/>
      <c r="AJ54" s="23"/>
      <c r="AK54" s="23"/>
      <c r="AL54" s="23"/>
      <c r="AM54" s="49">
        <v>12</v>
      </c>
      <c r="AN54" s="44">
        <v>255</v>
      </c>
      <c r="AQ54" s="30">
        <v>55</v>
      </c>
      <c r="AU54" s="30">
        <f>(AU53+AU55)/2</f>
        <v>13.25</v>
      </c>
      <c r="AV54" s="30" t="e">
        <f>IF(K11*(2/AT15)&lt;=AU54,AQ54,AV55)</f>
        <v>#DIV/0!</v>
      </c>
      <c r="AW54" s="30">
        <v>8.5</v>
      </c>
      <c r="AX54" s="30" t="e">
        <f>IF(K11*(2/AT15)&lt;=AW54,AQ54,AX55)</f>
        <v>#DIV/0!</v>
      </c>
      <c r="AY54" s="23">
        <v>6</v>
      </c>
      <c r="AZ54" s="30" t="e">
        <f>IF(K11*(2/AT15)&lt;=AY54,AQ54,AZ55)</f>
        <v>#DIV/0!</v>
      </c>
      <c r="BE54" s="23">
        <f>(BE53+BE55)/2</f>
        <v>13.25</v>
      </c>
      <c r="BF54" s="30">
        <f>IF(K11&lt;=BE54,AQ54,BF55)</f>
        <v>55</v>
      </c>
      <c r="BG54" s="23">
        <v>8.5</v>
      </c>
      <c r="BH54" s="30">
        <f>IF(K11&lt;=BG54,AQ54,BH55)</f>
        <v>55</v>
      </c>
      <c r="BI54" s="31"/>
      <c r="BV54" s="30">
        <v>60</v>
      </c>
      <c r="BW54" s="49">
        <v>2.5</v>
      </c>
      <c r="BX54" s="30" t="e">
        <f>IF(K11/AT15&lt;BW54,BV54,BX55)</f>
        <v>#DIV/0!</v>
      </c>
    </row>
    <row r="55" spans="16:76">
      <c r="P55" s="31"/>
      <c r="Q55" s="31"/>
      <c r="R55" s="31"/>
      <c r="S55" s="31"/>
      <c r="T55" s="31"/>
      <c r="U55" s="31"/>
      <c r="V55" s="31"/>
      <c r="AE55" s="44">
        <v>260</v>
      </c>
      <c r="AF55" s="48"/>
      <c r="AG55" s="23"/>
      <c r="AH55" s="23"/>
      <c r="AI55" s="23"/>
      <c r="AJ55" s="23"/>
      <c r="AK55" s="23"/>
      <c r="AL55" s="23"/>
      <c r="AM55" s="49">
        <v>12.5</v>
      </c>
      <c r="AN55" s="44">
        <v>260</v>
      </c>
      <c r="AQ55" s="30">
        <v>60</v>
      </c>
      <c r="AU55" s="30">
        <v>14</v>
      </c>
      <c r="AV55" s="30" t="e">
        <f>IF(K11*(2/AT15)&lt;=AU55,AQ55,AV56)</f>
        <v>#DIV/0!</v>
      </c>
      <c r="AW55" s="30">
        <v>9.5</v>
      </c>
      <c r="AX55" s="30" t="e">
        <f>IF(K11*(2/AT15)&lt;=AW55,AQ55,AX56)</f>
        <v>#DIV/0!</v>
      </c>
      <c r="AY55" s="23">
        <v>6.5</v>
      </c>
      <c r="AZ55" s="30" t="e">
        <f>IF(K11*(2/AT15)&lt;=AY55,AQ55,AZ56)</f>
        <v>#DIV/0!</v>
      </c>
      <c r="BE55" s="23">
        <v>14</v>
      </c>
      <c r="BF55" s="30">
        <f>IF(K11&lt;=BE55,AQ55,BF56)</f>
        <v>60</v>
      </c>
      <c r="BG55" s="23">
        <v>9.5</v>
      </c>
      <c r="BH55" s="30">
        <f>IF(K11&lt;=BG55,AQ55,BH56)</f>
        <v>60</v>
      </c>
      <c r="BI55" s="31"/>
      <c r="BV55" s="30">
        <v>65</v>
      </c>
      <c r="BW55" s="49">
        <v>2.5</v>
      </c>
      <c r="BX55" s="30" t="e">
        <f>IF(K11/AT15&lt;BW55,BV55,BX56)</f>
        <v>#DIV/0!</v>
      </c>
    </row>
    <row r="56" spans="16:76">
      <c r="P56" s="31"/>
      <c r="Q56" s="31"/>
      <c r="R56" s="31"/>
      <c r="S56" s="31"/>
      <c r="T56" s="31"/>
      <c r="U56" s="31"/>
      <c r="V56" s="31"/>
      <c r="AE56" s="44">
        <v>265</v>
      </c>
      <c r="AF56" s="48"/>
      <c r="AG56" s="23"/>
      <c r="AH56" s="23"/>
      <c r="AI56" s="23"/>
      <c r="AJ56" s="23"/>
      <c r="AK56" s="23"/>
      <c r="AL56" s="23"/>
      <c r="AM56" s="49">
        <v>13</v>
      </c>
      <c r="AN56" s="44">
        <v>265</v>
      </c>
      <c r="AQ56" s="30">
        <v>65</v>
      </c>
      <c r="AU56" s="30">
        <f>(AU55+AU57)/2</f>
        <v>15.5</v>
      </c>
      <c r="AV56" s="30" t="e">
        <f>IF(K11*(2/AT15)&lt;=AU56,AQ56,AV57)</f>
        <v>#DIV/0!</v>
      </c>
      <c r="AW56" s="30">
        <v>10</v>
      </c>
      <c r="AX56" s="30" t="e">
        <f>IF(K11*(2/AT15)&lt;=AW56,AQ56,AX57)</f>
        <v>#DIV/0!</v>
      </c>
      <c r="AY56" s="23">
        <v>7</v>
      </c>
      <c r="AZ56" s="30" t="e">
        <f>IF(K11*(2/AT15)&lt;=AY56,AQ56,AZ57)</f>
        <v>#DIV/0!</v>
      </c>
      <c r="BE56" s="23">
        <f>(BE55+BE57)/2</f>
        <v>15.5</v>
      </c>
      <c r="BF56" s="30">
        <f>IF(K11&lt;=BE56,AQ56,BF57)</f>
        <v>65</v>
      </c>
      <c r="BG56" s="23">
        <v>10</v>
      </c>
      <c r="BH56" s="30">
        <f>IF(K11&lt;=BG56,AQ56,BH57)</f>
        <v>65</v>
      </c>
      <c r="BI56" s="31"/>
      <c r="BV56" s="30">
        <v>70</v>
      </c>
      <c r="BW56" s="49">
        <v>3</v>
      </c>
      <c r="BX56" s="30" t="e">
        <f>IF(K11/AT15&lt;BW56,BV56,BX57)</f>
        <v>#DIV/0!</v>
      </c>
    </row>
    <row r="57" spans="16:76">
      <c r="P57" s="31"/>
      <c r="Q57" s="31"/>
      <c r="R57" s="31"/>
      <c r="S57" s="31"/>
      <c r="T57" s="31"/>
      <c r="V57" s="31"/>
      <c r="AE57" s="44">
        <v>270</v>
      </c>
      <c r="AF57" s="48"/>
      <c r="AG57" s="23"/>
      <c r="AH57" s="23"/>
      <c r="AI57" s="23"/>
      <c r="AJ57" s="23"/>
      <c r="AK57" s="23"/>
      <c r="AL57" s="23"/>
      <c r="AM57" s="49">
        <v>13.5</v>
      </c>
      <c r="AN57" s="44">
        <v>270</v>
      </c>
      <c r="AQ57" s="30">
        <v>70</v>
      </c>
      <c r="AU57" s="30">
        <v>17</v>
      </c>
      <c r="AV57" s="30" t="e">
        <f>IF(K11*(2/AT15)&lt;=AU57,AQ57,AV58)</f>
        <v>#DIV/0!</v>
      </c>
      <c r="AW57" s="30">
        <v>11</v>
      </c>
      <c r="AX57" s="30" t="e">
        <f>IF(K11*(2/AT15)&lt;=AW57,AQ57,AX58)</f>
        <v>#DIV/0!</v>
      </c>
      <c r="AY57" s="23">
        <v>7.5</v>
      </c>
      <c r="AZ57" s="30" t="e">
        <f>IF(K11*(2/AT15)&lt;=AY57,AQ57,AZ58)</f>
        <v>#DIV/0!</v>
      </c>
      <c r="BE57" s="23">
        <v>17</v>
      </c>
      <c r="BF57" s="30">
        <f>IF(K11&lt;=BE57,AQ57,BF58)</f>
        <v>70</v>
      </c>
      <c r="BG57" s="23">
        <v>11</v>
      </c>
      <c r="BH57" s="30">
        <f>IF(K11&lt;=BG57,AQ57,BH58)</f>
        <v>70</v>
      </c>
      <c r="BI57" s="31"/>
      <c r="BV57" s="30">
        <v>75</v>
      </c>
      <c r="BW57" s="49">
        <v>3</v>
      </c>
      <c r="BX57" s="30" t="e">
        <f>IF(K11/AT15&lt;BW57,BV57,BX58)</f>
        <v>#DIV/0!</v>
      </c>
    </row>
    <row r="58" spans="16:76">
      <c r="P58" s="31"/>
      <c r="Q58" s="31"/>
      <c r="R58" s="31"/>
      <c r="T58" s="31"/>
      <c r="V58" s="31"/>
      <c r="AE58" s="44">
        <v>275</v>
      </c>
      <c r="AF58" s="48"/>
      <c r="AG58" s="23"/>
      <c r="AH58" s="23"/>
      <c r="AI58" s="23"/>
      <c r="AJ58" s="23"/>
      <c r="AK58" s="23"/>
      <c r="AL58" s="23"/>
      <c r="AM58" s="49">
        <v>14.5</v>
      </c>
      <c r="AN58" s="44">
        <v>275</v>
      </c>
      <c r="AQ58" s="30">
        <v>75</v>
      </c>
      <c r="AU58" s="30">
        <f>(AU57+AU59)/2</f>
        <v>18.5</v>
      </c>
      <c r="AV58" s="30" t="e">
        <f>IF(K11*(2/AT15)&lt;=AU58,AQ58,AV59)</f>
        <v>#DIV/0!</v>
      </c>
      <c r="AW58" s="30">
        <v>12.5</v>
      </c>
      <c r="AX58" s="30" t="e">
        <f>IF(K11*(2/AT15)&lt;=AW58,AQ58,AX59)</f>
        <v>#DIV/0!</v>
      </c>
      <c r="AY58" s="23">
        <v>8</v>
      </c>
      <c r="AZ58" s="30" t="e">
        <f>IF(K11*(2/AT15)&lt;=AY58,AQ58,AZ59)</f>
        <v>#DIV/0!</v>
      </c>
      <c r="BE58" s="23">
        <f>(BE57+BE59)/2</f>
        <v>18.5</v>
      </c>
      <c r="BF58" s="30">
        <f>IF(K11&lt;=BE58,AQ58,BF59)</f>
        <v>75</v>
      </c>
      <c r="BG58" s="23">
        <v>12.5</v>
      </c>
      <c r="BH58" s="30">
        <f>IF(K11&lt;=BG58,AQ58,BH59)</f>
        <v>75</v>
      </c>
      <c r="BV58" s="30">
        <v>80</v>
      </c>
      <c r="BW58" s="49">
        <v>3</v>
      </c>
      <c r="BX58" s="30" t="e">
        <f>IF(K11/AT15&lt;BW58,BV58,BX59)</f>
        <v>#DIV/0!</v>
      </c>
    </row>
    <row r="59" spans="16:76">
      <c r="V59" s="31"/>
      <c r="AE59" s="44">
        <v>280</v>
      </c>
      <c r="AF59" s="48"/>
      <c r="AG59" s="23"/>
      <c r="AH59" s="23"/>
      <c r="AI59" s="23"/>
      <c r="AJ59" s="23"/>
      <c r="AK59" s="23"/>
      <c r="AL59" s="23"/>
      <c r="AM59" s="49">
        <v>15</v>
      </c>
      <c r="AN59" s="44">
        <v>280</v>
      </c>
      <c r="AQ59" s="30">
        <v>80</v>
      </c>
      <c r="AU59" s="30">
        <v>20</v>
      </c>
      <c r="AV59" s="30" t="e">
        <f>IF(K11*(2/AT15)&lt;=AU59,AQ59,AV60)</f>
        <v>#DIV/0!</v>
      </c>
      <c r="AW59" s="30">
        <v>13.5</v>
      </c>
      <c r="AX59" s="30" t="e">
        <f>IF(K11*(2/AT15)&lt;=AW59,AQ59,AX60)</f>
        <v>#DIV/0!</v>
      </c>
      <c r="AY59" s="23">
        <v>8.5</v>
      </c>
      <c r="AZ59" s="30" t="e">
        <f>IF(K11*(2/AT15)&lt;=AY59,AQ59,AZ60)</f>
        <v>#DIV/0!</v>
      </c>
      <c r="BE59" s="23">
        <v>20</v>
      </c>
      <c r="BF59" s="30">
        <f>IF(K11&lt;=BE59,AQ59,BF60)</f>
        <v>80</v>
      </c>
      <c r="BG59" s="23">
        <v>13.5</v>
      </c>
      <c r="BH59" s="30">
        <f>IF(K11&lt;=BG59,AQ59,BH60)</f>
        <v>80</v>
      </c>
      <c r="BV59" s="30">
        <v>85</v>
      </c>
      <c r="BW59" s="49">
        <v>3.5</v>
      </c>
      <c r="BX59" s="30" t="e">
        <f>IF(K11/AT15&lt;BW59,BV59,BX60)</f>
        <v>#DIV/0!</v>
      </c>
    </row>
    <row r="60" spans="16:76">
      <c r="V60" s="31"/>
      <c r="AE60" s="44">
        <v>285</v>
      </c>
      <c r="AF60" s="48"/>
      <c r="AG60" s="23"/>
      <c r="AH60" s="23"/>
      <c r="AI60" s="23"/>
      <c r="AJ60" s="23"/>
      <c r="AK60" s="23"/>
      <c r="AL60" s="23"/>
      <c r="AM60" s="49">
        <v>16.5</v>
      </c>
      <c r="AN60" s="44">
        <v>285</v>
      </c>
      <c r="AQ60" s="30">
        <v>85</v>
      </c>
      <c r="AW60" s="30">
        <v>14</v>
      </c>
      <c r="AX60" s="30" t="e">
        <f>IF(K11*(2/AT15)&lt;=AW60,AQ60,AX61)</f>
        <v>#DIV/0!</v>
      </c>
      <c r="AY60" s="23">
        <v>9</v>
      </c>
      <c r="AZ60" s="30" t="e">
        <f>IF(K11*(2/AT15)&lt;=AY60,AQ60,AZ61)</f>
        <v>#DIV/0!</v>
      </c>
      <c r="BG60" s="23">
        <v>14</v>
      </c>
      <c r="BH60" s="30">
        <f>IF(K11&lt;=BG60,AQ60,BH61)</f>
        <v>85</v>
      </c>
      <c r="BV60" s="30">
        <v>90</v>
      </c>
      <c r="BW60" s="49">
        <v>3.5</v>
      </c>
      <c r="BX60" s="30" t="e">
        <f>IF(K11/AT15&lt;BW60,BV60,BX61)</f>
        <v>#DIV/0!</v>
      </c>
    </row>
    <row r="61" spans="16:76">
      <c r="V61" s="31"/>
      <c r="AE61" s="44">
        <v>290</v>
      </c>
      <c r="AF61" s="48"/>
      <c r="AG61" s="23"/>
      <c r="AH61" s="23"/>
      <c r="AI61" s="23"/>
      <c r="AJ61" s="23"/>
      <c r="AK61" s="23"/>
      <c r="AL61" s="23"/>
      <c r="AM61" s="49">
        <v>17.5</v>
      </c>
      <c r="AN61" s="44">
        <v>290</v>
      </c>
      <c r="AQ61" s="30">
        <v>90</v>
      </c>
      <c r="AW61" s="30">
        <v>15.5</v>
      </c>
      <c r="AX61" s="30" t="e">
        <f>IF(K11*(2/AT15)&lt;=AW61,AQ61,AX62)</f>
        <v>#DIV/0!</v>
      </c>
      <c r="AY61" s="23">
        <v>9.5</v>
      </c>
      <c r="AZ61" s="30" t="e">
        <f>IF(K11*(2/AT15)&lt;=AY61,AQ61,AZ62)</f>
        <v>#DIV/0!</v>
      </c>
      <c r="BG61" s="23">
        <v>15.5</v>
      </c>
      <c r="BH61" s="30">
        <f>IF(K11&lt;=BG61,AQ61,BH62)</f>
        <v>90</v>
      </c>
      <c r="BV61" s="30">
        <v>95</v>
      </c>
      <c r="BW61" s="49">
        <v>3.5</v>
      </c>
      <c r="BX61" s="30" t="e">
        <f>IF(K11/AT15&lt;BW61,BV61,BX62)</f>
        <v>#DIV/0!</v>
      </c>
    </row>
    <row r="62" spans="16:76">
      <c r="V62" s="31"/>
      <c r="AE62" s="44">
        <v>295</v>
      </c>
      <c r="AF62" s="48"/>
      <c r="AG62" s="23"/>
      <c r="AH62" s="23"/>
      <c r="AI62" s="23"/>
      <c r="AJ62" s="23"/>
      <c r="AK62" s="23"/>
      <c r="AL62" s="23"/>
      <c r="AM62" s="49">
        <v>19</v>
      </c>
      <c r="AN62" s="44">
        <v>295</v>
      </c>
      <c r="AQ62" s="30">
        <v>95</v>
      </c>
      <c r="AW62" s="30">
        <v>18</v>
      </c>
      <c r="AX62" s="30" t="e">
        <f>IF(K11*(2/AT15)&lt;=AW62,AQ62,AX63)</f>
        <v>#DIV/0!</v>
      </c>
      <c r="AY62" s="23">
        <v>10</v>
      </c>
      <c r="AZ62" s="30" t="e">
        <f>IF(K11*(2/AT15)&lt;=AY62,AQ62,AZ63)</f>
        <v>#DIV/0!</v>
      </c>
      <c r="BG62" s="23">
        <v>18</v>
      </c>
      <c r="BH62" s="30">
        <f>IF(K11&lt;=BG62,AQ62,BH63)</f>
        <v>95</v>
      </c>
      <c r="BV62" s="30">
        <v>100</v>
      </c>
      <c r="BW62" s="49">
        <v>4</v>
      </c>
      <c r="BX62" s="30" t="e">
        <f>IF(K11/AT15&lt;BW62,BV62,BX63)</f>
        <v>#DIV/0!</v>
      </c>
    </row>
    <row r="63" spans="16:76" ht="15.75" thickBot="1">
      <c r="V63" s="31"/>
      <c r="AE63" s="51">
        <v>300</v>
      </c>
      <c r="AF63" s="52"/>
      <c r="AG63" s="53"/>
      <c r="AH63" s="53"/>
      <c r="AI63" s="53"/>
      <c r="AJ63" s="53"/>
      <c r="AK63" s="53"/>
      <c r="AL63" s="53"/>
      <c r="AM63" s="54">
        <v>20</v>
      </c>
      <c r="AN63" s="51">
        <v>300</v>
      </c>
      <c r="AQ63" s="30">
        <v>100</v>
      </c>
      <c r="AW63" s="30">
        <v>20</v>
      </c>
      <c r="AX63" s="30" t="e">
        <f>IF(K11*(2/AT15)&lt;=AW63,AQ63,AX64)</f>
        <v>#DIV/0!</v>
      </c>
      <c r="AY63" s="23">
        <v>10.5</v>
      </c>
      <c r="AZ63" s="30" t="e">
        <f>IF(K11*(2/AT15)&lt;=AY63,AQ63,AZ64)</f>
        <v>#DIV/0!</v>
      </c>
      <c r="BG63" s="23">
        <v>20</v>
      </c>
      <c r="BH63" s="30">
        <f>IF(K11&lt;=BG63,AQ63,BH64)</f>
        <v>100</v>
      </c>
      <c r="BV63" s="30">
        <v>105</v>
      </c>
      <c r="BW63" s="49">
        <v>4</v>
      </c>
      <c r="BX63" s="30" t="e">
        <f>IF(K11/AT15&lt;BW63,BV63,BX64)</f>
        <v>#DIV/0!</v>
      </c>
    </row>
    <row r="64" spans="16:76">
      <c r="V64" s="31"/>
      <c r="AQ64" s="30">
        <v>105</v>
      </c>
      <c r="AY64" s="23">
        <v>11.5</v>
      </c>
      <c r="AZ64" s="30" t="e">
        <f>IF(K11*(2/AT15)&lt;=AY64,AQ64,AZ65)</f>
        <v>#DIV/0!</v>
      </c>
      <c r="BV64" s="30">
        <v>110</v>
      </c>
      <c r="BW64" s="49">
        <v>4.5</v>
      </c>
      <c r="BX64" s="30" t="e">
        <f>IF(K11/AT15&lt;BW64,BV64,BX65)</f>
        <v>#DIV/0!</v>
      </c>
    </row>
    <row r="65" spans="21:76">
      <c r="V65" s="31"/>
      <c r="AQ65" s="30">
        <v>110</v>
      </c>
      <c r="AY65" s="23">
        <v>12</v>
      </c>
      <c r="AZ65" s="30" t="e">
        <f>IF(K11*(2/AT15)&lt;=AY65,AQ65,AZ66)</f>
        <v>#DIV/0!</v>
      </c>
      <c r="BV65" s="30">
        <v>115</v>
      </c>
      <c r="BW65" s="49">
        <v>4.5</v>
      </c>
      <c r="BX65" s="30" t="e">
        <f>IF(K11/AT15&lt;BW65,BV65,BX66)</f>
        <v>#DIV/0!</v>
      </c>
    </row>
    <row r="66" spans="21:76">
      <c r="V66" s="31"/>
      <c r="AQ66" s="30">
        <v>115</v>
      </c>
      <c r="AY66" s="23">
        <v>12.5</v>
      </c>
      <c r="AZ66" s="30" t="e">
        <f>IF(K11*(2/AT15)&lt;=AY66,AQ66,AZ67)</f>
        <v>#DIV/0!</v>
      </c>
      <c r="BV66" s="30">
        <v>120</v>
      </c>
      <c r="BW66" s="49">
        <v>4.5</v>
      </c>
      <c r="BX66" s="30" t="e">
        <f>IF(K11/AT15&lt;BW66,BV66,BX67)</f>
        <v>#DIV/0!</v>
      </c>
    </row>
    <row r="67" spans="21:76">
      <c r="V67" s="31"/>
      <c r="AQ67" s="30">
        <v>120</v>
      </c>
      <c r="AY67" s="23">
        <v>13</v>
      </c>
      <c r="AZ67" s="30" t="e">
        <f>IF(K11*(2/AT15)&lt;=AY67,AQ67,AZ68)</f>
        <v>#DIV/0!</v>
      </c>
      <c r="BV67" s="30">
        <v>125</v>
      </c>
      <c r="BW67" s="49">
        <v>5</v>
      </c>
      <c r="BX67" s="30" t="e">
        <f>IF(K11/AT15&lt;BW67,BV67,BX68)</f>
        <v>#DIV/0!</v>
      </c>
    </row>
    <row r="68" spans="21:76">
      <c r="U68" s="31"/>
      <c r="V68" s="31"/>
      <c r="AQ68" s="30">
        <v>125</v>
      </c>
      <c r="AY68" s="23">
        <v>14</v>
      </c>
      <c r="AZ68" s="30" t="e">
        <f>IF(K11*(2/AT15)&lt;=AY68,AQ68,AZ69)</f>
        <v>#DIV/0!</v>
      </c>
      <c r="BV68" s="30">
        <v>130</v>
      </c>
      <c r="BW68" s="49">
        <v>5</v>
      </c>
      <c r="BX68" s="30" t="e">
        <f>IF(K11/AT15&lt;BW68,BV68,BX69)</f>
        <v>#DIV/0!</v>
      </c>
    </row>
    <row r="69" spans="21:76">
      <c r="U69" s="31"/>
      <c r="V69" s="31"/>
      <c r="AQ69" s="30">
        <v>130</v>
      </c>
      <c r="AY69" s="23">
        <v>14.5</v>
      </c>
      <c r="AZ69" s="30" t="e">
        <f>IF(K11*(2/AT15)&lt;=AY69,AQ69,AZ70)</f>
        <v>#DIV/0!</v>
      </c>
      <c r="BV69" s="30">
        <v>135</v>
      </c>
      <c r="BW69" s="49">
        <v>5</v>
      </c>
      <c r="BX69" s="30" t="e">
        <f>IF(K11/AT15&lt;BW69,BV69,BX70)</f>
        <v>#DIV/0!</v>
      </c>
    </row>
    <row r="70" spans="21:76">
      <c r="U70" s="31"/>
      <c r="V70" s="31"/>
      <c r="AQ70" s="30">
        <v>135</v>
      </c>
      <c r="AY70" s="23">
        <v>15</v>
      </c>
      <c r="AZ70" s="30" t="e">
        <f>IF(K11*(2/AT15)&lt;=AY70,AQ70,AZ71)</f>
        <v>#DIV/0!</v>
      </c>
      <c r="BV70" s="30">
        <v>140</v>
      </c>
      <c r="BW70" s="49">
        <v>5.5</v>
      </c>
      <c r="BX70" s="30" t="e">
        <f>IF(K11/AT15&lt;BW70,BV70,BX71)</f>
        <v>#DIV/0!</v>
      </c>
    </row>
    <row r="71" spans="21:76">
      <c r="U71" s="31"/>
      <c r="V71" s="31"/>
      <c r="AQ71" s="30">
        <v>140</v>
      </c>
      <c r="AY71" s="23">
        <v>16</v>
      </c>
      <c r="AZ71" s="30" t="e">
        <f>IF(K11*(2/AT15)&lt;=AY71,AQ71,AZ72)</f>
        <v>#DIV/0!</v>
      </c>
      <c r="BV71" s="30">
        <v>145</v>
      </c>
      <c r="BW71" s="49">
        <v>5.5</v>
      </c>
      <c r="BX71" s="30" t="e">
        <f>IF(K11/AT15&lt;BW71,BV71,BX72)</f>
        <v>#DIV/0!</v>
      </c>
    </row>
    <row r="72" spans="21:76">
      <c r="U72" s="31"/>
      <c r="V72" s="31"/>
      <c r="AQ72" s="30">
        <v>145</v>
      </c>
      <c r="AY72" s="23">
        <v>17</v>
      </c>
      <c r="AZ72" s="30" t="e">
        <f>IF(K11*(2/AT15)&lt;=AY72,AQ72,AZ73)</f>
        <v>#DIV/0!</v>
      </c>
      <c r="BV72" s="30">
        <v>150</v>
      </c>
      <c r="BW72" s="49">
        <v>6</v>
      </c>
      <c r="BX72" s="30" t="e">
        <f>IF(K11/AT15&lt;BW72,BV72,BX73)</f>
        <v>#DIV/0!</v>
      </c>
    </row>
    <row r="73" spans="21:76">
      <c r="U73" s="31"/>
      <c r="V73" s="31"/>
      <c r="AQ73" s="30">
        <v>150</v>
      </c>
      <c r="AY73" s="23">
        <v>18.5</v>
      </c>
      <c r="AZ73" s="30" t="e">
        <f>IF(K11*(2/AT15)&lt;=AY73,AQ73,AZ74)</f>
        <v>#DIV/0!</v>
      </c>
      <c r="BV73" s="30">
        <v>155</v>
      </c>
      <c r="BW73" s="49">
        <v>6</v>
      </c>
      <c r="BX73" s="30" t="e">
        <f>IF(K11/AT15&lt;BW73,BV73,BX74)</f>
        <v>#DIV/0!</v>
      </c>
    </row>
    <row r="74" spans="21:76">
      <c r="U74" s="31"/>
      <c r="V74" s="31"/>
      <c r="AQ74" s="30">
        <v>155</v>
      </c>
      <c r="AY74" s="23">
        <v>19.5</v>
      </c>
      <c r="AZ74" s="30" t="e">
        <f>IF(K11*(2/AT15)&lt;=AY74,AQ74,AZ75)</f>
        <v>#DIV/0!</v>
      </c>
      <c r="BV74" s="30">
        <v>160</v>
      </c>
      <c r="BW74" s="49">
        <v>6.5</v>
      </c>
      <c r="BX74" s="30" t="e">
        <f>IF(K11/AT15&lt;BW74,BV74,BX75)</f>
        <v>#DIV/0!</v>
      </c>
    </row>
    <row r="75" spans="21:76">
      <c r="U75" s="31"/>
      <c r="V75" s="31"/>
      <c r="AQ75" s="30">
        <v>160</v>
      </c>
      <c r="AY75" s="23">
        <v>21</v>
      </c>
      <c r="AZ75" s="30" t="e">
        <f>IF(K11*(2/AT15)&lt;=AY75,AQ75,AZ76)</f>
        <v>#DIV/0!</v>
      </c>
      <c r="BV75" s="30">
        <v>165</v>
      </c>
      <c r="BW75" s="49">
        <v>6.5</v>
      </c>
      <c r="BX75" s="30" t="e">
        <f>IF(K11/AT15&lt;BW75,BV75,BX76)</f>
        <v>#DIV/0!</v>
      </c>
    </row>
    <row r="76" spans="21:76">
      <c r="U76" s="31"/>
      <c r="V76" s="31"/>
      <c r="BV76" s="30">
        <v>170</v>
      </c>
      <c r="BW76" s="49">
        <v>7</v>
      </c>
      <c r="BX76" s="30" t="e">
        <f>IF(K11/AT15&lt;BW76,BV76,BX77)</f>
        <v>#DIV/0!</v>
      </c>
    </row>
    <row r="77" spans="21:76">
      <c r="U77" s="31"/>
      <c r="V77" s="31"/>
      <c r="BV77" s="30">
        <v>175</v>
      </c>
      <c r="BW77" s="49">
        <v>7</v>
      </c>
      <c r="BX77" s="30" t="e">
        <f>IF(K11/AT15&lt;BW77,BV77,BX78)</f>
        <v>#DIV/0!</v>
      </c>
    </row>
    <row r="78" spans="21:76">
      <c r="U78" s="31"/>
      <c r="V78" s="31"/>
      <c r="BV78" s="30">
        <v>180</v>
      </c>
      <c r="BW78" s="49">
        <v>7.5</v>
      </c>
      <c r="BX78" s="30" t="e">
        <f>IF(K11/AT15&lt;BW78,BV78,BX79)</f>
        <v>#DIV/0!</v>
      </c>
    </row>
    <row r="79" spans="21:76">
      <c r="U79" s="31"/>
      <c r="V79" s="31"/>
      <c r="BV79" s="30">
        <v>185</v>
      </c>
      <c r="BW79" s="49">
        <v>7.5</v>
      </c>
      <c r="BX79" s="30" t="e">
        <f>IF(K11/AT15&lt;BW79,BV79,BX80)</f>
        <v>#DIV/0!</v>
      </c>
    </row>
    <row r="80" spans="21:76">
      <c r="U80" s="31"/>
      <c r="V80" s="31"/>
      <c r="BV80" s="30">
        <v>190</v>
      </c>
      <c r="BW80" s="49">
        <v>8</v>
      </c>
      <c r="BX80" s="30" t="e">
        <f>IF(K11/AT15&lt;BW80,BV80,BX81)</f>
        <v>#DIV/0!</v>
      </c>
    </row>
    <row r="81" spans="21:76">
      <c r="U81" s="31"/>
      <c r="V81" s="31"/>
      <c r="BV81" s="30">
        <v>195</v>
      </c>
      <c r="BW81" s="49">
        <v>8</v>
      </c>
      <c r="BX81" s="30" t="e">
        <f>IF(K11/AT15&lt;BW81,BV81,BX82)</f>
        <v>#DIV/0!</v>
      </c>
    </row>
    <row r="82" spans="21:76">
      <c r="U82" s="31"/>
      <c r="V82" s="31"/>
      <c r="BV82" s="30">
        <v>200</v>
      </c>
      <c r="BW82" s="49">
        <v>8</v>
      </c>
      <c r="BX82" s="30" t="e">
        <f>IF(K11/AT15&lt;BW82,BV82,BX83)</f>
        <v>#DIV/0!</v>
      </c>
    </row>
    <row r="83" spans="21:76">
      <c r="U83" s="31"/>
      <c r="V83" s="31"/>
      <c r="BV83" s="30">
        <v>205</v>
      </c>
      <c r="BW83" s="49">
        <v>8.5</v>
      </c>
      <c r="BX83" s="30" t="e">
        <f>IF(K11/AT15&lt;BW83,BV83,BX84)</f>
        <v>#DIV/0!</v>
      </c>
    </row>
    <row r="84" spans="21:76">
      <c r="U84" s="31"/>
      <c r="V84" s="31"/>
      <c r="BV84" s="30">
        <v>210</v>
      </c>
      <c r="BW84" s="49">
        <v>8.5</v>
      </c>
      <c r="BX84" s="30" t="e">
        <f>IF(K11/AT15&lt;BW84,BV84,BX85)</f>
        <v>#DIV/0!</v>
      </c>
    </row>
    <row r="85" spans="21:76">
      <c r="U85" s="31"/>
      <c r="V85" s="31"/>
      <c r="BV85" s="30">
        <v>215</v>
      </c>
      <c r="BW85" s="49">
        <v>9</v>
      </c>
      <c r="BX85" s="30" t="e">
        <f>IF(K11/AT15&lt;BW85,BV85,BX86)</f>
        <v>#DIV/0!</v>
      </c>
    </row>
    <row r="86" spans="21:76">
      <c r="U86" s="31"/>
      <c r="V86" s="31"/>
      <c r="BV86" s="30">
        <v>220</v>
      </c>
      <c r="BW86" s="49">
        <v>9</v>
      </c>
      <c r="BX86" s="30" t="e">
        <f>IF(K11/AT15&lt;BW86,BV86,BX87)</f>
        <v>#DIV/0!</v>
      </c>
    </row>
    <row r="87" spans="21:76">
      <c r="U87" s="31"/>
      <c r="V87" s="31"/>
      <c r="BV87" s="30">
        <v>225</v>
      </c>
      <c r="BW87" s="49">
        <v>9.5</v>
      </c>
      <c r="BX87" s="30" t="e">
        <f>IF(K11/AT15&lt;BW87,BV87,BX88)</f>
        <v>#DIV/0!</v>
      </c>
    </row>
    <row r="88" spans="21:76">
      <c r="U88" s="31"/>
      <c r="V88" s="31"/>
      <c r="BV88" s="30">
        <v>230</v>
      </c>
      <c r="BW88" s="49">
        <v>9.5</v>
      </c>
      <c r="BX88" s="30" t="e">
        <f>IF(K11/AT15&lt;BW88,BV88,BX89)</f>
        <v>#DIV/0!</v>
      </c>
    </row>
    <row r="89" spans="21:76">
      <c r="U89" s="31"/>
      <c r="V89" s="31"/>
      <c r="BV89" s="30">
        <v>235</v>
      </c>
      <c r="BW89" s="49">
        <v>10</v>
      </c>
      <c r="BX89" s="30" t="e">
        <f>IF(K11/AT15&lt;BW89,BV89,BX90)</f>
        <v>#DIV/0!</v>
      </c>
    </row>
    <row r="90" spans="21:76">
      <c r="U90" s="31"/>
      <c r="V90" s="31"/>
      <c r="BV90" s="30">
        <v>240</v>
      </c>
      <c r="BW90" s="49">
        <v>10</v>
      </c>
      <c r="BX90" s="30" t="e">
        <f>IF(K11/AT15&lt;BW90,BV90,BX91)</f>
        <v>#DIV/0!</v>
      </c>
    </row>
    <row r="91" spans="21:76">
      <c r="U91" s="31"/>
      <c r="V91" s="31"/>
      <c r="BV91" s="30">
        <v>245</v>
      </c>
      <c r="BW91" s="49">
        <v>10.5</v>
      </c>
      <c r="BX91" s="30" t="e">
        <f>IF(K11/AT15&lt;BW91,BV91,BX92)</f>
        <v>#DIV/0!</v>
      </c>
    </row>
    <row r="92" spans="21:76">
      <c r="U92" s="31"/>
      <c r="V92" s="31"/>
      <c r="BV92" s="30">
        <v>250</v>
      </c>
      <c r="BW92" s="49">
        <v>11</v>
      </c>
      <c r="BX92" s="30" t="e">
        <f>IF(K11/AT15&lt;BW92,BV92,BX93)</f>
        <v>#DIV/0!</v>
      </c>
    </row>
    <row r="93" spans="21:76">
      <c r="U93" s="31"/>
      <c r="V93" s="31"/>
      <c r="BV93" s="30">
        <v>255</v>
      </c>
      <c r="BW93" s="49">
        <v>12</v>
      </c>
      <c r="BX93" s="30" t="e">
        <f>IF(K11/AT15&lt;BW93,BV93,BX94)</f>
        <v>#DIV/0!</v>
      </c>
    </row>
    <row r="94" spans="21:76">
      <c r="U94" s="31"/>
      <c r="V94" s="31"/>
      <c r="BV94" s="30">
        <v>260</v>
      </c>
      <c r="BW94" s="49">
        <v>12.5</v>
      </c>
      <c r="BX94" s="30" t="e">
        <f>IF(K11/AT15&lt;BW94,BV94,BX95)</f>
        <v>#DIV/0!</v>
      </c>
    </row>
    <row r="95" spans="21:76">
      <c r="U95" s="31"/>
      <c r="V95" s="31"/>
      <c r="BV95" s="30">
        <v>265</v>
      </c>
      <c r="BW95" s="49">
        <v>13</v>
      </c>
      <c r="BX95" s="30" t="e">
        <f>IF(K11/AT15&lt;BW95,BV95,BX96)</f>
        <v>#DIV/0!</v>
      </c>
    </row>
    <row r="96" spans="21:76">
      <c r="U96" s="31"/>
      <c r="V96" s="31"/>
      <c r="BV96" s="30">
        <v>270</v>
      </c>
      <c r="BW96" s="49">
        <v>13.5</v>
      </c>
      <c r="BX96" s="30" t="e">
        <f>IF(K11/AT15&lt;BW96,BV96,BX97)</f>
        <v>#DIV/0!</v>
      </c>
    </row>
    <row r="97" spans="21:76">
      <c r="U97" s="31"/>
      <c r="V97" s="31"/>
      <c r="BV97" s="30">
        <v>275</v>
      </c>
      <c r="BW97" s="49">
        <v>14.5</v>
      </c>
      <c r="BX97" s="30" t="e">
        <f>IF(K11/AT15&lt;BW97,BV97,BX98)</f>
        <v>#DIV/0!</v>
      </c>
    </row>
    <row r="98" spans="21:76">
      <c r="U98" s="31"/>
      <c r="V98" s="31"/>
      <c r="BV98" s="30">
        <v>280</v>
      </c>
      <c r="BW98" s="49">
        <v>15</v>
      </c>
      <c r="BX98" s="30" t="e">
        <f>IF(K11/AT15&lt;BW98,BV98,BX99)</f>
        <v>#DIV/0!</v>
      </c>
    </row>
    <row r="99" spans="21:76">
      <c r="U99" s="31"/>
      <c r="V99" s="31"/>
      <c r="BV99" s="30">
        <v>285</v>
      </c>
      <c r="BW99" s="49">
        <v>16.5</v>
      </c>
      <c r="BX99" s="30" t="e">
        <f>IF(K11/AT15&lt;BW99,BV99,BX100)</f>
        <v>#DIV/0!</v>
      </c>
    </row>
    <row r="100" spans="21:76">
      <c r="U100" s="31"/>
      <c r="V100" s="31"/>
      <c r="BV100" s="30">
        <v>290</v>
      </c>
      <c r="BW100" s="49">
        <v>17.5</v>
      </c>
      <c r="BX100" s="30" t="e">
        <f>IF(K11/AT15&lt;BW100,BV100,BX101)</f>
        <v>#DIV/0!</v>
      </c>
    </row>
    <row r="101" spans="21:76">
      <c r="U101" s="31"/>
      <c r="V101" s="31"/>
      <c r="BV101" s="30">
        <v>295</v>
      </c>
      <c r="BW101" s="49">
        <v>19</v>
      </c>
      <c r="BX101" s="30" t="e">
        <f>IF(K11/AT15&lt;BW101,BV101,BX102)</f>
        <v>#DIV/0!</v>
      </c>
    </row>
    <row r="102" spans="21:76" ht="15.75" thickBot="1">
      <c r="U102" s="31"/>
      <c r="V102" s="31"/>
      <c r="BV102" s="30">
        <v>300</v>
      </c>
      <c r="BW102" s="54">
        <v>20</v>
      </c>
      <c r="BX102" s="30" t="e">
        <f>IF(K11/AT15&lt;BW102,BV102,BX103)</f>
        <v>#DIV/0!</v>
      </c>
    </row>
    <row r="103" spans="21:76">
      <c r="U103" s="31"/>
      <c r="V103" s="31"/>
    </row>
    <row r="104" spans="21:76">
      <c r="U104" s="31"/>
      <c r="V104" s="31"/>
    </row>
    <row r="105" spans="21:76">
      <c r="U105" s="31"/>
      <c r="V105" s="31"/>
    </row>
    <row r="106" spans="21:76">
      <c r="U106" s="31"/>
      <c r="V106" s="31"/>
    </row>
    <row r="107" spans="21:76">
      <c r="U107" s="31"/>
      <c r="V107" s="31"/>
    </row>
    <row r="108" spans="21:76">
      <c r="U108" s="31"/>
      <c r="V108" s="31"/>
    </row>
    <row r="109" spans="21:76">
      <c r="U109" s="31"/>
      <c r="V109" s="31"/>
    </row>
    <row r="110" spans="21:76">
      <c r="U110" s="31"/>
      <c r="V110" s="31"/>
    </row>
    <row r="111" spans="21:76">
      <c r="U111" s="31"/>
      <c r="V111" s="31"/>
    </row>
    <row r="112" spans="21:76">
      <c r="U112" s="31"/>
      <c r="V112" s="31"/>
    </row>
    <row r="113" spans="21:22">
      <c r="U113" s="31"/>
      <c r="V113" s="31"/>
    </row>
    <row r="114" spans="21:22">
      <c r="U114" s="31"/>
      <c r="V114" s="31"/>
    </row>
    <row r="115" spans="21:22">
      <c r="U115" s="31"/>
      <c r="V115" s="31"/>
    </row>
    <row r="116" spans="21:22">
      <c r="U116" s="31"/>
      <c r="V116" s="31"/>
    </row>
    <row r="117" spans="21:22">
      <c r="U117" s="31"/>
      <c r="V117" s="31"/>
    </row>
  </sheetData>
  <sheetProtection sheet="1" objects="1" scenarios="1"/>
  <sortState ref="X31:X38">
    <sortCondition ref="X11:X18"/>
  </sortState>
  <dataConsolidate/>
  <mergeCells count="41">
    <mergeCell ref="B32:F36"/>
    <mergeCell ref="B29:D29"/>
    <mergeCell ref="B30:D30"/>
    <mergeCell ref="E1:L4"/>
    <mergeCell ref="B31:D31"/>
    <mergeCell ref="A19:H20"/>
    <mergeCell ref="A21:H22"/>
    <mergeCell ref="A23:H24"/>
    <mergeCell ref="J25:P25"/>
    <mergeCell ref="J21:P21"/>
    <mergeCell ref="B26:D26"/>
    <mergeCell ref="B27:D27"/>
    <mergeCell ref="B28:D28"/>
    <mergeCell ref="J7:J8"/>
    <mergeCell ref="K7:K8"/>
    <mergeCell ref="A17:H18"/>
    <mergeCell ref="J29:P29"/>
    <mergeCell ref="AF1:AM1"/>
    <mergeCell ref="L13:L14"/>
    <mergeCell ref="L15:L16"/>
    <mergeCell ref="A7:H9"/>
    <mergeCell ref="L7:L8"/>
    <mergeCell ref="K9:K10"/>
    <mergeCell ref="K11:K12"/>
    <mergeCell ref="K15:K16"/>
    <mergeCell ref="K13:K14"/>
    <mergeCell ref="J9:J10"/>
    <mergeCell ref="J11:J12"/>
    <mergeCell ref="J13:J14"/>
    <mergeCell ref="M19:N20"/>
    <mergeCell ref="O19:P20"/>
    <mergeCell ref="A10:H12"/>
    <mergeCell ref="A13:H15"/>
    <mergeCell ref="A16:H16"/>
    <mergeCell ref="L9:L10"/>
    <mergeCell ref="L11:L12"/>
    <mergeCell ref="J19:J20"/>
    <mergeCell ref="K19:L20"/>
    <mergeCell ref="J15:J16"/>
    <mergeCell ref="J17:J18"/>
    <mergeCell ref="K17:L18"/>
  </mergeCells>
  <conditionalFormatting sqref="AF3:AM63">
    <cfRule type="colorScale" priority="6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M42:BM43">
    <cfRule type="containsBlanks" dxfId="65" priority="47">
      <formula>LEN(TRIM(BM42))=0</formula>
    </cfRule>
  </conditionalFormatting>
  <conditionalFormatting sqref="BL48:BL51">
    <cfRule type="containsText" dxfId="64" priority="46" operator="containsText" text="Range">
      <formula>NOT(ISERROR(SEARCH("Range",BL48)))</formula>
    </cfRule>
  </conditionalFormatting>
  <conditionalFormatting sqref="BM47:BN47">
    <cfRule type="cellIs" dxfId="63" priority="45" operator="equal">
      <formula>0</formula>
    </cfRule>
  </conditionalFormatting>
  <conditionalFormatting sqref="J34 J19:J32 K19:P28 K30:P32 J29:P29 M17:P18">
    <cfRule type="expression" dxfId="62" priority="39">
      <formula>$K$15=0</formula>
    </cfRule>
    <cfRule type="expression" dxfId="61" priority="40">
      <formula>$K$13=0</formula>
    </cfRule>
    <cfRule type="expression" dxfId="60" priority="41">
      <formula>$K$11=0</formula>
    </cfRule>
    <cfRule type="expression" dxfId="59" priority="42">
      <formula>$K$7=0</formula>
    </cfRule>
  </conditionalFormatting>
  <conditionalFormatting sqref="J24:P24 J28:P28 J32:P32 J34 M17:P18">
    <cfRule type="expression" dxfId="58" priority="36">
      <formula>$O$24=0</formula>
    </cfRule>
  </conditionalFormatting>
  <conditionalFormatting sqref="J23:P23 J27:P27 J31:P31">
    <cfRule type="expression" dxfId="57" priority="35">
      <formula>$O$23=0</formula>
    </cfRule>
  </conditionalFormatting>
  <conditionalFormatting sqref="K7:K16">
    <cfRule type="containsBlanks" dxfId="56" priority="61">
      <formula>LEN(TRIM(K7))=0</formula>
    </cfRule>
  </conditionalFormatting>
  <conditionalFormatting sqref="B32 M17">
    <cfRule type="expression" dxfId="55" priority="28">
      <formula>$K$15=0</formula>
    </cfRule>
    <cfRule type="expression" dxfId="54" priority="30">
      <formula>$K$7=0</formula>
    </cfRule>
    <cfRule type="cellIs" dxfId="53" priority="31" operator="equal">
      <formula>0</formula>
    </cfRule>
  </conditionalFormatting>
  <conditionalFormatting sqref="J34 J25:J32 K25:P28 K30:P32 J29:P29">
    <cfRule type="expression" dxfId="52" priority="107">
      <formula>$Y$9=1</formula>
    </cfRule>
  </conditionalFormatting>
  <conditionalFormatting sqref="J34 J29:J32 K30:P32 J29:P29">
    <cfRule type="expression" dxfId="51" priority="112">
      <formula>$Y$9=2</formula>
    </cfRule>
  </conditionalFormatting>
  <conditionalFormatting sqref="J19:J32 K19:P28 K30:P32 J29:P29 M17:P18">
    <cfRule type="expression" dxfId="50" priority="124">
      <formula>$Y$13=4</formula>
    </cfRule>
  </conditionalFormatting>
  <conditionalFormatting sqref="AY43:AY75">
    <cfRule type="colorScale" priority="1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17:L18">
    <cfRule type="expression" dxfId="49" priority="12">
      <formula>$K$7=$L$9</formula>
    </cfRule>
    <cfRule type="expression" dxfId="48" priority="13">
      <formula>$K$15=0</formula>
    </cfRule>
    <cfRule type="expression" dxfId="47" priority="14">
      <formula>$K$13=0</formula>
    </cfRule>
    <cfRule type="expression" dxfId="46" priority="15">
      <formula>$K$11:$K$16=$L$10</formula>
    </cfRule>
  </conditionalFormatting>
  <conditionalFormatting sqref="J19:L20">
    <cfRule type="expression" dxfId="45" priority="8">
      <formula>$K$15=$L$15</formula>
    </cfRule>
    <cfRule type="expression" dxfId="44" priority="9">
      <formula>$K$13=$L$13</formula>
    </cfRule>
    <cfRule type="expression" dxfId="43" priority="10">
      <formula>$K$11=$L$11</formula>
    </cfRule>
    <cfRule type="expression" dxfId="42" priority="11">
      <formula>$K$7=$L$7</formula>
    </cfRule>
  </conditionalFormatting>
  <conditionalFormatting sqref="BE43:BE59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G43:BG63 BI37:BI57 BH37:BH42">
    <cfRule type="colorScale" priority="12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W42:BW102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dataValidations xWindow="674" yWindow="369" count="10">
    <dataValidation type="whole" operator="lessThan" allowBlank="1" showInputMessage="1" showErrorMessage="1" promptTitle="Minimum Flow" prompt="Leave value blank if unknown." sqref="K9:K10">
      <formula1>K7</formula1>
    </dataValidation>
    <dataValidation type="custom" allowBlank="1" showInputMessage="1" showErrorMessage="1" errorTitle="Error" sqref="B32">
      <formula1>O30&lt;10</formula1>
    </dataValidation>
    <dataValidation type="list" allowBlank="1" showInputMessage="1" showErrorMessage="1" sqref="S17">
      <formula1>Figures</formula1>
    </dataValidation>
    <dataValidation type="custom" showErrorMessage="1" errorTitle="ERROR" sqref="O30">
      <formula1>O30&lt;10</formula1>
    </dataValidation>
    <dataValidation type="decimal" allowBlank="1" showInputMessage="1" showErrorMessage="1" error="Value Must Be Between 125-10_x000a_" sqref="BM43:BN43">
      <formula1>10</formula1>
      <formula2>125</formula2>
    </dataValidation>
    <dataValidation type="whole" allowBlank="1" showInputMessage="1" showErrorMessage="1" error="Value Must Be Between 300-1" promptTitle="PRV Pressure" prompt="When entering in values, please note:_x000a__x000a_Max working pressure for valves are 300 PSI with the exception of the NR3XL (1/2&quot;-1-1/4&quot;) with a working pressure of 400PSI" sqref="BM42:BN42">
      <formula1>0</formula1>
      <formula2>400</formula2>
    </dataValidation>
    <dataValidation type="whole" allowBlank="1" showInputMessage="1" showErrorMessage="1" error="Value must be between 300-0" promptTitle="Max Flow" prompt="Value must be between 300-0 GPM." sqref="K7:K8">
      <formula1>0</formula1>
      <formula2>300</formula2>
    </dataValidation>
    <dataValidation type="whole" allowBlank="1" showInputMessage="1" showErrorMessage="1" sqref="K11:K12">
      <formula1>5</formula1>
      <formula2>20</formula2>
    </dataValidation>
    <dataValidation type="whole" allowBlank="1" showInputMessage="1" showErrorMessage="1" promptTitle="Inlet Pressure" prompt="Value must be less than or equal to 300 PSI." sqref="K13:K14">
      <formula1>0</formula1>
      <formula2>300</formula2>
    </dataValidation>
    <dataValidation type="whole" allowBlank="1" showInputMessage="1" showErrorMessage="1" error="Value must be between 125(High range)-10(Low range)" promptTitle="Outlet Pressure" prompt="Value must be between 125-10 PSI." sqref="K15:K16">
      <formula1>10</formula1>
      <formula2>125</formula2>
    </dataValidation>
  </dataValidations>
  <hyperlinks>
    <hyperlink ref="A10:H12" location="'500XL'!K7" display="1) Enter the value for the max flow through the system. Then, enter the value for the minimum flow. (If the minimum flow is unknown, leave blank or enter &quot;0&quot;"/>
    <hyperlink ref="E1:L4" r:id="rId1" display="Model 500XL"/>
    <hyperlink ref="A13:H15" location="'500XL'!K11" display="2) Enter the value for the allowable falloff. Falloff is defined as the pressure drop within a system due to a given flow: i.e.. the greater the flow the greater the falloff. "/>
    <hyperlink ref="A17:H18" location="'500XL'!K13" display="3) Enter the value for the system's inlet pressure and the desired outlet pressure. "/>
    <hyperlink ref="A21:H22" location="'500XL'!K17" display="5)Please refer to the cell &quot;Figure. Number&quot; in order to see a visual representation of the system."/>
  </hyperlinks>
  <pageMargins left="0.7" right="0.7" top="0.75" bottom="0.75" header="0.3" footer="0.3"/>
  <pageSetup scale="58" orientation="portrait" horizontalDpi="90" verticalDpi="90" r:id="rId2"/>
  <ignoredErrors>
    <ignoredError sqref="O30:O31 M22:M23 M26:M27 M30:M31 O26:O27" evalError="1"/>
  </ignoredErrors>
  <drawing r:id="rId3"/>
  <legacyDrawing r:id="rId4"/>
  <oleObjects>
    <oleObject progId="PBrush" shapeId="2057" r:id="rId5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autoPageBreaks="0"/>
  </sheetPr>
  <dimension ref="A1:BD60"/>
  <sheetViews>
    <sheetView zoomScaleNormal="100" workbookViewId="0">
      <selection activeCell="K7" sqref="K7:K8"/>
    </sheetView>
  </sheetViews>
  <sheetFormatPr defaultRowHeight="15"/>
  <cols>
    <col min="1" max="1" width="6" style="30" customWidth="1"/>
    <col min="2" max="2" width="15" style="30" customWidth="1"/>
    <col min="3" max="3" width="6.42578125" style="30" customWidth="1"/>
    <col min="4" max="4" width="5.28515625" style="30" customWidth="1"/>
    <col min="5" max="5" width="6" style="30" customWidth="1"/>
    <col min="6" max="6" width="7.85546875" style="30" customWidth="1"/>
    <col min="7" max="8" width="8.140625" style="30" customWidth="1"/>
    <col min="9" max="9" width="2.7109375" style="30" customWidth="1"/>
    <col min="10" max="10" width="22.7109375" style="30" customWidth="1"/>
    <col min="11" max="11" width="6.85546875" style="30" customWidth="1"/>
    <col min="12" max="12" width="6.42578125" style="30" customWidth="1"/>
    <col min="13" max="13" width="6.7109375" style="30" customWidth="1"/>
    <col min="14" max="14" width="9.140625" style="30" customWidth="1"/>
    <col min="15" max="15" width="8.7109375" style="30" customWidth="1"/>
    <col min="16" max="17" width="6.7109375" style="30" customWidth="1"/>
    <col min="18" max="18" width="40.7109375" style="30" hidden="1" customWidth="1"/>
    <col min="19" max="19" width="6.7109375" style="30" hidden="1" customWidth="1"/>
    <col min="20" max="20" width="8.42578125" style="30" hidden="1" customWidth="1"/>
    <col min="21" max="21" width="7.5703125" style="30" hidden="1" customWidth="1"/>
    <col min="22" max="22" width="13.42578125" style="30" hidden="1" customWidth="1"/>
    <col min="23" max="23" width="7.5703125" style="30" hidden="1" customWidth="1"/>
    <col min="24" max="24" width="9.140625" style="30" hidden="1" customWidth="1"/>
    <col min="25" max="25" width="9.7109375" style="30" hidden="1" customWidth="1"/>
    <col min="26" max="26" width="6.7109375" style="30" hidden="1" customWidth="1"/>
    <col min="27" max="27" width="4.7109375" style="30" hidden="1" customWidth="1"/>
    <col min="28" max="28" width="3" style="30" hidden="1" customWidth="1"/>
    <col min="29" max="30" width="6.42578125" style="30" hidden="1" customWidth="1"/>
    <col min="31" max="31" width="5" style="30" hidden="1" customWidth="1"/>
    <col min="32" max="33" width="9.7109375" style="30" hidden="1" customWidth="1"/>
    <col min="34" max="56" width="9.140625" style="30" hidden="1" customWidth="1"/>
    <col min="57" max="57" width="9.140625" style="30" customWidth="1"/>
    <col min="58" max="16384" width="9.140625" style="30"/>
  </cols>
  <sheetData>
    <row r="1" spans="1:55" ht="15.95" customHeight="1">
      <c r="E1" s="165" t="s">
        <v>83</v>
      </c>
      <c r="F1" s="165"/>
      <c r="G1" s="165"/>
      <c r="H1" s="165"/>
      <c r="I1" s="165"/>
      <c r="J1" s="165"/>
      <c r="K1" s="165"/>
      <c r="L1" s="165"/>
    </row>
    <row r="2" spans="1:55" ht="15.95" customHeight="1" thickBot="1">
      <c r="E2" s="165"/>
      <c r="F2" s="165"/>
      <c r="G2" s="165"/>
      <c r="H2" s="165"/>
      <c r="I2" s="165"/>
      <c r="J2" s="165"/>
      <c r="K2" s="165"/>
      <c r="L2" s="165"/>
    </row>
    <row r="3" spans="1:55" ht="15.95" customHeight="1" thickBot="1">
      <c r="E3" s="165"/>
      <c r="F3" s="165"/>
      <c r="G3" s="165"/>
      <c r="H3" s="165"/>
      <c r="I3" s="165"/>
      <c r="J3" s="165"/>
      <c r="K3" s="165"/>
      <c r="L3" s="165"/>
      <c r="Z3" s="154" t="s">
        <v>5</v>
      </c>
      <c r="AA3" s="155"/>
      <c r="AB3" s="155"/>
      <c r="AC3" s="155"/>
      <c r="AD3" s="155"/>
      <c r="AE3" s="156"/>
    </row>
    <row r="4" spans="1:55" ht="15.95" customHeight="1" thickBot="1">
      <c r="E4" s="165"/>
      <c r="F4" s="165"/>
      <c r="G4" s="165"/>
      <c r="H4" s="165"/>
      <c r="I4" s="165"/>
      <c r="J4" s="165"/>
      <c r="K4" s="165"/>
      <c r="L4" s="165"/>
      <c r="Y4" s="41" t="s">
        <v>4</v>
      </c>
      <c r="Z4" s="64" t="s">
        <v>6</v>
      </c>
      <c r="AA4" s="65" t="s">
        <v>7</v>
      </c>
      <c r="AB4" s="65" t="s">
        <v>8</v>
      </c>
      <c r="AC4" s="65" t="s">
        <v>9</v>
      </c>
      <c r="AD4" s="65" t="s">
        <v>10</v>
      </c>
      <c r="AE4" s="66" t="s">
        <v>11</v>
      </c>
      <c r="AF4" s="41" t="s">
        <v>4</v>
      </c>
      <c r="AG4" s="31"/>
      <c r="AH4" s="67"/>
      <c r="AI4" s="42"/>
      <c r="AJ4" s="42"/>
      <c r="AK4" s="42"/>
      <c r="AL4" s="42"/>
      <c r="AM4" s="68"/>
    </row>
    <row r="5" spans="1:55" ht="15.95" customHeight="1">
      <c r="V5" s="30" t="s">
        <v>41</v>
      </c>
      <c r="Y5" s="69">
        <v>0</v>
      </c>
      <c r="Z5" s="70">
        <v>0</v>
      </c>
      <c r="AA5" s="71">
        <v>0</v>
      </c>
      <c r="AB5" s="71">
        <v>0</v>
      </c>
      <c r="AC5" s="71">
        <v>0</v>
      </c>
      <c r="AD5" s="71">
        <v>0</v>
      </c>
      <c r="AE5" s="72">
        <v>0</v>
      </c>
      <c r="AF5" s="73">
        <v>0</v>
      </c>
      <c r="AG5" s="60"/>
    </row>
    <row r="6" spans="1:55" ht="15.95" customHeight="1">
      <c r="T6" s="30" t="s">
        <v>39</v>
      </c>
      <c r="U6" s="30" t="s">
        <v>40</v>
      </c>
      <c r="Y6" s="69">
        <v>5</v>
      </c>
      <c r="Z6" s="74">
        <v>3</v>
      </c>
      <c r="AA6" s="23">
        <v>3</v>
      </c>
      <c r="AB6" s="23">
        <v>3</v>
      </c>
      <c r="AC6" s="23">
        <v>2</v>
      </c>
      <c r="AD6" s="23">
        <v>0.5</v>
      </c>
      <c r="AE6" s="75">
        <v>0.5</v>
      </c>
      <c r="AF6" s="73">
        <v>5</v>
      </c>
      <c r="AG6" s="60"/>
    </row>
    <row r="7" spans="1:55" ht="15.95" customHeight="1">
      <c r="A7" s="157" t="s">
        <v>79</v>
      </c>
      <c r="B7" s="157"/>
      <c r="C7" s="157"/>
      <c r="D7" s="157"/>
      <c r="E7" s="157"/>
      <c r="F7" s="157"/>
      <c r="G7" s="157"/>
      <c r="H7" s="157"/>
      <c r="J7" s="146" t="s">
        <v>31</v>
      </c>
      <c r="K7" s="170"/>
      <c r="L7" s="61"/>
      <c r="M7" s="61"/>
      <c r="N7" s="61"/>
      <c r="O7" s="61"/>
      <c r="P7" s="61"/>
      <c r="Q7" s="61"/>
      <c r="R7" s="61"/>
      <c r="S7" s="61"/>
      <c r="T7" s="30">
        <f>IF(K11=M7,0,AI14)</f>
        <v>0</v>
      </c>
      <c r="U7" s="30">
        <f>ROUND(K7-U8,0)</f>
        <v>0</v>
      </c>
      <c r="V7" s="30" t="e">
        <f>ROUND(IF(T7=T8,AI9,AI9),0)</f>
        <v>#DIV/0!</v>
      </c>
      <c r="Y7" s="69">
        <v>10</v>
      </c>
      <c r="Z7" s="74">
        <v>7.5</v>
      </c>
      <c r="AA7" s="23">
        <v>6</v>
      </c>
      <c r="AB7" s="23">
        <v>5</v>
      </c>
      <c r="AC7" s="23">
        <v>3.5</v>
      </c>
      <c r="AD7" s="23">
        <v>1</v>
      </c>
      <c r="AE7" s="75">
        <v>1</v>
      </c>
      <c r="AF7" s="73">
        <v>10</v>
      </c>
      <c r="AG7" s="60"/>
    </row>
    <row r="8" spans="1:55" ht="15.95" customHeight="1">
      <c r="A8" s="157"/>
      <c r="B8" s="157"/>
      <c r="C8" s="157"/>
      <c r="D8" s="157"/>
      <c r="E8" s="157"/>
      <c r="F8" s="157"/>
      <c r="G8" s="157"/>
      <c r="H8" s="157"/>
      <c r="J8" s="147"/>
      <c r="K8" s="170"/>
      <c r="L8" s="61"/>
      <c r="M8" s="61"/>
      <c r="N8" s="61"/>
      <c r="O8" s="61"/>
      <c r="P8" s="61"/>
      <c r="Q8" s="61"/>
      <c r="R8" s="61"/>
      <c r="S8" s="61"/>
      <c r="T8" s="30">
        <f>IF(K11=O3,0,AI13)</f>
        <v>0</v>
      </c>
      <c r="U8" s="30">
        <f>ROUND(BB34,0)</f>
        <v>0</v>
      </c>
      <c r="V8" s="30">
        <f>IF(U8=0,0,ROUND(IF(T8=" "," ",AJ9),0))</f>
        <v>0</v>
      </c>
      <c r="Y8" s="69">
        <v>15</v>
      </c>
      <c r="Z8" s="74">
        <v>15</v>
      </c>
      <c r="AA8" s="23">
        <v>10</v>
      </c>
      <c r="AB8" s="23">
        <v>8</v>
      </c>
      <c r="AC8" s="23">
        <v>5.5</v>
      </c>
      <c r="AD8" s="23">
        <v>2</v>
      </c>
      <c r="AE8" s="75">
        <v>2</v>
      </c>
      <c r="AF8" s="73">
        <v>15</v>
      </c>
      <c r="AG8" s="60"/>
      <c r="AI8" s="30">
        <f>IF(T7=0,0,1)</f>
        <v>0</v>
      </c>
      <c r="AJ8" s="30">
        <f>IF(T8=0,0,1)</f>
        <v>0</v>
      </c>
      <c r="AL8" s="30">
        <f>AI8+AJ8+AK8</f>
        <v>0</v>
      </c>
      <c r="AM8" s="30">
        <v>2</v>
      </c>
    </row>
    <row r="9" spans="1:55" ht="15.95" customHeight="1">
      <c r="A9" s="157"/>
      <c r="B9" s="157"/>
      <c r="C9" s="157"/>
      <c r="D9" s="157"/>
      <c r="E9" s="157"/>
      <c r="F9" s="157"/>
      <c r="G9" s="157"/>
      <c r="H9" s="157"/>
      <c r="J9" s="146" t="s">
        <v>30</v>
      </c>
      <c r="K9" s="159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Y9" s="69">
        <v>20</v>
      </c>
      <c r="Z9" s="74"/>
      <c r="AA9" s="23">
        <v>15</v>
      </c>
      <c r="AB9" s="23">
        <v>12</v>
      </c>
      <c r="AC9" s="23">
        <v>7.5</v>
      </c>
      <c r="AD9" s="23">
        <v>2.5</v>
      </c>
      <c r="AE9" s="75">
        <v>2.5</v>
      </c>
      <c r="AF9" s="73">
        <v>20</v>
      </c>
      <c r="AG9" s="60"/>
      <c r="AI9" s="50" t="e">
        <f>AN44-(K11/AL8)*(AL8-1)</f>
        <v>#DIV/0!</v>
      </c>
      <c r="AJ9" s="50" t="e">
        <f>AI9+(K11/AL8)</f>
        <v>#DIV/0!</v>
      </c>
      <c r="AK9" s="50"/>
    </row>
    <row r="10" spans="1:55" ht="15.95" customHeight="1">
      <c r="A10" s="171" t="s">
        <v>60</v>
      </c>
      <c r="B10" s="171"/>
      <c r="C10" s="171"/>
      <c r="D10" s="171"/>
      <c r="E10" s="171"/>
      <c r="F10" s="171"/>
      <c r="G10" s="171"/>
      <c r="H10" s="171"/>
      <c r="J10" s="147"/>
      <c r="K10" s="160"/>
      <c r="L10" s="60"/>
      <c r="M10" s="60"/>
      <c r="N10" s="60"/>
      <c r="O10" s="60"/>
      <c r="P10" s="60"/>
      <c r="Q10" s="60"/>
      <c r="R10" s="60"/>
      <c r="S10" s="60"/>
      <c r="T10" s="61"/>
      <c r="U10" s="61"/>
      <c r="V10" s="61"/>
      <c r="W10" s="60"/>
      <c r="Y10" s="69">
        <v>25</v>
      </c>
      <c r="Z10" s="74"/>
      <c r="AA10" s="23">
        <v>20</v>
      </c>
      <c r="AB10" s="23">
        <v>16</v>
      </c>
      <c r="AC10" s="23">
        <v>9</v>
      </c>
      <c r="AD10" s="23">
        <v>3</v>
      </c>
      <c r="AE10" s="75">
        <v>3</v>
      </c>
      <c r="AF10" s="73">
        <v>25</v>
      </c>
      <c r="AG10" s="60"/>
    </row>
    <row r="11" spans="1:55" ht="15.95" customHeight="1">
      <c r="A11" s="171"/>
      <c r="B11" s="171"/>
      <c r="C11" s="171"/>
      <c r="D11" s="171"/>
      <c r="E11" s="171"/>
      <c r="F11" s="171"/>
      <c r="G11" s="171"/>
      <c r="H11" s="171"/>
      <c r="J11" s="146" t="s">
        <v>32</v>
      </c>
      <c r="K11" s="159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Y11" s="69">
        <v>30</v>
      </c>
      <c r="Z11" s="74"/>
      <c r="AA11" s="23"/>
      <c r="AB11" s="23">
        <v>20</v>
      </c>
      <c r="AC11" s="23">
        <v>11</v>
      </c>
      <c r="AD11" s="23">
        <v>4</v>
      </c>
      <c r="AE11" s="75">
        <v>4</v>
      </c>
      <c r="AF11" s="73">
        <v>30</v>
      </c>
      <c r="AG11" s="60"/>
    </row>
    <row r="12" spans="1:55" ht="15.95" customHeight="1">
      <c r="A12" s="171"/>
      <c r="B12" s="171"/>
      <c r="C12" s="171"/>
      <c r="D12" s="171"/>
      <c r="E12" s="171"/>
      <c r="F12" s="171"/>
      <c r="G12" s="171"/>
      <c r="H12" s="171"/>
      <c r="J12" s="147"/>
      <c r="K12" s="160"/>
      <c r="L12" s="61"/>
      <c r="M12" s="61"/>
      <c r="N12" s="61"/>
      <c r="O12" s="61"/>
      <c r="P12" s="61"/>
      <c r="Q12" s="61"/>
      <c r="R12" s="61"/>
      <c r="S12" s="61"/>
      <c r="T12" s="60"/>
      <c r="U12" s="60"/>
      <c r="V12" s="60"/>
      <c r="W12" s="61">
        <f>AN43</f>
        <v>0</v>
      </c>
      <c r="Y12" s="69">
        <v>35</v>
      </c>
      <c r="Z12" s="74"/>
      <c r="AA12" s="23"/>
      <c r="AB12" s="23"/>
      <c r="AC12" s="23">
        <v>13</v>
      </c>
      <c r="AD12" s="23">
        <v>5</v>
      </c>
      <c r="AE12" s="75">
        <v>5</v>
      </c>
      <c r="AF12" s="73">
        <v>35</v>
      </c>
      <c r="AG12" s="60"/>
      <c r="AI12" s="30">
        <f>IF(AI14=AE4,AB4,0)</f>
        <v>0</v>
      </c>
    </row>
    <row r="13" spans="1:55" ht="15.95" customHeight="1">
      <c r="A13" s="171" t="s">
        <v>80</v>
      </c>
      <c r="B13" s="171"/>
      <c r="C13" s="171"/>
      <c r="D13" s="171"/>
      <c r="E13" s="171"/>
      <c r="F13" s="171"/>
      <c r="G13" s="171"/>
      <c r="H13" s="171"/>
      <c r="J13" s="146" t="s">
        <v>33</v>
      </c>
      <c r="K13" s="159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Y13" s="69">
        <v>40</v>
      </c>
      <c r="Z13" s="74"/>
      <c r="AA13" s="23"/>
      <c r="AB13" s="23"/>
      <c r="AC13" s="23">
        <v>15</v>
      </c>
      <c r="AD13" s="23">
        <v>5.5</v>
      </c>
      <c r="AE13" s="75">
        <v>5.5</v>
      </c>
      <c r="AF13" s="73">
        <v>40</v>
      </c>
      <c r="AG13" s="60"/>
      <c r="AI13" s="30">
        <f>IF(AI16="BPN",AB4,AI12)</f>
        <v>0</v>
      </c>
    </row>
    <row r="14" spans="1:55" ht="15.95" customHeight="1">
      <c r="A14" s="171"/>
      <c r="B14" s="171"/>
      <c r="C14" s="171"/>
      <c r="D14" s="171"/>
      <c r="E14" s="171"/>
      <c r="F14" s="171"/>
      <c r="G14" s="171"/>
      <c r="H14" s="171"/>
      <c r="J14" s="147"/>
      <c r="K14" s="1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 t="e">
        <f>IF(O28&lt;10,1,0)</f>
        <v>#DIV/0!</v>
      </c>
      <c r="Y14" s="69">
        <v>45</v>
      </c>
      <c r="Z14" s="74"/>
      <c r="AA14" s="23"/>
      <c r="AB14" s="23"/>
      <c r="AC14" s="23">
        <v>16.5</v>
      </c>
      <c r="AD14" s="23">
        <v>6.5</v>
      </c>
      <c r="AE14" s="23">
        <v>6.5</v>
      </c>
      <c r="AF14" s="73">
        <v>45</v>
      </c>
      <c r="AG14" s="60"/>
      <c r="AI14" s="30" t="str">
        <f>IF(AI16="BPN",AE4,AI16)</f>
        <v>1/2"</v>
      </c>
    </row>
    <row r="15" spans="1:55" ht="15.95" customHeight="1">
      <c r="A15" s="171"/>
      <c r="B15" s="171"/>
      <c r="C15" s="171"/>
      <c r="D15" s="171"/>
      <c r="E15" s="171"/>
      <c r="F15" s="171"/>
      <c r="G15" s="171"/>
      <c r="H15" s="171"/>
      <c r="J15" s="146" t="s">
        <v>34</v>
      </c>
      <c r="K15" s="159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Y15" s="69">
        <v>50</v>
      </c>
      <c r="Z15" s="74"/>
      <c r="AA15" s="23"/>
      <c r="AB15" s="23"/>
      <c r="AC15" s="23">
        <v>18</v>
      </c>
      <c r="AD15" s="23">
        <v>8</v>
      </c>
      <c r="AE15" s="75">
        <v>8</v>
      </c>
      <c r="AF15" s="73">
        <v>50</v>
      </c>
      <c r="AG15" s="60"/>
    </row>
    <row r="16" spans="1:55" ht="15.95" customHeight="1">
      <c r="A16" s="142" t="s">
        <v>57</v>
      </c>
      <c r="B16" s="142"/>
      <c r="C16" s="142"/>
      <c r="D16" s="142"/>
      <c r="E16" s="142"/>
      <c r="F16" s="142"/>
      <c r="G16" s="142"/>
      <c r="H16" s="142"/>
      <c r="J16" s="147"/>
      <c r="K16" s="160"/>
      <c r="L16" s="60"/>
      <c r="M16" s="60"/>
      <c r="N16" s="60"/>
      <c r="O16" s="60"/>
      <c r="P16" s="60"/>
      <c r="Q16" s="60"/>
      <c r="R16" s="60"/>
      <c r="S16" s="60"/>
      <c r="W16" s="60" t="e">
        <f>W12+W14</f>
        <v>#DIV/0!</v>
      </c>
      <c r="Y16" s="69">
        <v>55</v>
      </c>
      <c r="Z16" s="74"/>
      <c r="AA16" s="23"/>
      <c r="AB16" s="23"/>
      <c r="AC16" s="23">
        <v>20</v>
      </c>
      <c r="AD16" s="23">
        <v>9</v>
      </c>
      <c r="AE16" s="75">
        <v>9</v>
      </c>
      <c r="AF16" s="73">
        <v>55</v>
      </c>
      <c r="AG16" s="60"/>
      <c r="AI16" s="30" t="str">
        <f>IF(AI17&gt;=K7,AI18,AJ16)</f>
        <v>1/2"</v>
      </c>
      <c r="AJ16" s="30" t="str">
        <f>IF(AJ17&gt;=K7,AJ18,AK16)</f>
        <v>BPN</v>
      </c>
      <c r="AK16" s="30" t="str">
        <f>IF(AK17&gt;=K7,AK18,AL16)</f>
        <v>BPN</v>
      </c>
      <c r="AL16" s="30" t="str">
        <f>IF(AL17&gt;=K7,AL18,AM16)</f>
        <v>BPN</v>
      </c>
      <c r="AM16" s="30" t="str">
        <f>IF(AM17&gt;=K7,AM18,AN16)</f>
        <v>BPN</v>
      </c>
      <c r="AN16" s="30" t="str">
        <f>IF(AN17&gt;=K7,AN18,AO16)</f>
        <v>BPN</v>
      </c>
      <c r="AO16" s="30" t="str">
        <f>IF(AO17&gt;=K7,AO18,AP16)</f>
        <v>BPN</v>
      </c>
      <c r="AP16" s="30" t="str">
        <f>IF(AP17&gt;=K7,AP18,AQ16)</f>
        <v>BPN</v>
      </c>
      <c r="AQ16" s="30" t="str">
        <f>IF(AQ17&gt;=K7,AQ18,AR16)</f>
        <v>BPN</v>
      </c>
      <c r="AR16" s="30" t="str">
        <f>IF(AR17&gt;=K7,AR18,AS16)</f>
        <v>BPN</v>
      </c>
      <c r="AS16" s="30" t="str">
        <f>IF(AS17&gt;=K7,AS18,AT16)</f>
        <v>BPN</v>
      </c>
      <c r="AT16" s="30" t="str">
        <f>IF(AT17&gt;=K7,AT18,AU16)</f>
        <v>BPN</v>
      </c>
      <c r="AU16" s="30" t="str">
        <f>IF(AU17&gt;=K7,AU18,AV16)</f>
        <v>BPN</v>
      </c>
      <c r="AV16" s="30" t="str">
        <f>IF(AV17&gt;=K7,AV18,AW16)</f>
        <v>BPN</v>
      </c>
      <c r="AW16" s="30" t="str">
        <f>IF(AW17&gt;=K7,AW18,AX16)</f>
        <v>BPN</v>
      </c>
      <c r="AX16" s="30" t="str">
        <f>IF(AX17&gt;=K7,AX18,AY16)</f>
        <v>BPN</v>
      </c>
      <c r="AY16" s="30" t="str">
        <f>IF(AY17&gt;=K7,AY18,AZ16)</f>
        <v>BPN</v>
      </c>
      <c r="AZ16" s="30" t="str">
        <f>IF(AZ17&gt;=K7,AZ18,BA16)</f>
        <v>BPN</v>
      </c>
      <c r="BA16" s="30" t="str">
        <f>IF(BA17&gt;=K7,BA18,BB16)</f>
        <v>BPN</v>
      </c>
      <c r="BB16" s="30" t="str">
        <f>IF(BB17&gt;=K7,BB18,BC16)</f>
        <v>BPN</v>
      </c>
      <c r="BC16" s="30" t="str">
        <f>IF(BC17&gt;=K7,BC18,BD16)</f>
        <v>BPN</v>
      </c>
    </row>
    <row r="17" spans="1:55" ht="15.95" customHeight="1">
      <c r="A17" s="171" t="s">
        <v>61</v>
      </c>
      <c r="B17" s="171"/>
      <c r="C17" s="171"/>
      <c r="D17" s="171"/>
      <c r="E17" s="171"/>
      <c r="F17" s="171"/>
      <c r="G17" s="171"/>
      <c r="H17" s="171"/>
      <c r="J17" s="148" t="s">
        <v>75</v>
      </c>
      <c r="K17" s="150" t="e">
        <f>U19</f>
        <v>#DIV/0!</v>
      </c>
      <c r="L17" s="150"/>
      <c r="Y17" s="69">
        <v>60</v>
      </c>
      <c r="Z17" s="74"/>
      <c r="AA17" s="23"/>
      <c r="AB17" s="23"/>
      <c r="AC17" s="23"/>
      <c r="AD17" s="23">
        <v>10.5</v>
      </c>
      <c r="AE17" s="75">
        <v>10.5</v>
      </c>
      <c r="AF17" s="73">
        <v>60</v>
      </c>
      <c r="AG17" s="60"/>
      <c r="AI17" s="30">
        <v>0</v>
      </c>
      <c r="AJ17" s="30">
        <v>5</v>
      </c>
      <c r="AK17" s="30">
        <v>10</v>
      </c>
      <c r="AL17" s="30">
        <v>15</v>
      </c>
      <c r="AM17" s="30">
        <v>20</v>
      </c>
      <c r="AN17" s="30">
        <v>25</v>
      </c>
      <c r="AO17" s="30">
        <v>30</v>
      </c>
      <c r="AP17" s="30">
        <v>35</v>
      </c>
      <c r="AQ17" s="30">
        <v>40</v>
      </c>
      <c r="AR17" s="30">
        <v>45</v>
      </c>
      <c r="AS17" s="30">
        <v>50</v>
      </c>
      <c r="AT17" s="30">
        <v>55</v>
      </c>
      <c r="AU17" s="30">
        <v>60</v>
      </c>
      <c r="AV17" s="30">
        <v>65</v>
      </c>
      <c r="AW17" s="30">
        <v>70</v>
      </c>
      <c r="AX17" s="30">
        <v>75</v>
      </c>
      <c r="AY17" s="30">
        <v>80</v>
      </c>
      <c r="AZ17" s="30">
        <v>85</v>
      </c>
      <c r="BA17" s="30">
        <v>90</v>
      </c>
      <c r="BB17" s="30">
        <v>95</v>
      </c>
      <c r="BC17" s="30">
        <v>100</v>
      </c>
    </row>
    <row r="18" spans="1:55" ht="15.95" customHeight="1">
      <c r="A18" s="171"/>
      <c r="B18" s="171"/>
      <c r="C18" s="171"/>
      <c r="D18" s="171"/>
      <c r="E18" s="171"/>
      <c r="F18" s="171"/>
      <c r="G18" s="171"/>
      <c r="H18" s="171"/>
      <c r="J18" s="149"/>
      <c r="K18" s="150"/>
      <c r="L18" s="150"/>
      <c r="Y18" s="69">
        <v>65</v>
      </c>
      <c r="Z18" s="74"/>
      <c r="AA18" s="23"/>
      <c r="AB18" s="23"/>
      <c r="AC18" s="23"/>
      <c r="AD18" s="23">
        <v>13</v>
      </c>
      <c r="AE18" s="75">
        <v>12</v>
      </c>
      <c r="AF18" s="73">
        <v>65</v>
      </c>
      <c r="AG18" s="60"/>
      <c r="AI18" s="30" t="str">
        <f>IF(Z5&lt;=K11,Z4,AI19)</f>
        <v>1/2"</v>
      </c>
      <c r="AJ18" s="30" t="str">
        <f>IF(Z6&lt;=K11,Z4,AJ19)</f>
        <v>BPN</v>
      </c>
      <c r="AK18" s="30" t="str">
        <f>IF(Z7&lt;=K11,Z4,AK19)</f>
        <v>BPN</v>
      </c>
      <c r="AL18" s="30" t="str">
        <f>IF(Z8&lt;=K11,Z4,AL19)</f>
        <v>BPN</v>
      </c>
      <c r="AM18" s="30" t="str">
        <f>IF(AA9&lt;=K11,AA4,AM19)</f>
        <v>BPN</v>
      </c>
      <c r="AN18" s="30" t="str">
        <f>IF(AA10&lt;=K11,AA4,AN19)</f>
        <v>BPN</v>
      </c>
      <c r="AO18" s="30" t="str">
        <f>IF(AB11&lt;=K11,AB4,AO19)</f>
        <v>BPN</v>
      </c>
      <c r="AP18" s="30" t="str">
        <f>IF(AC12&lt;=K11,AC4,AP19)</f>
        <v>BPN</v>
      </c>
      <c r="AQ18" s="30" t="str">
        <f>IF(AC13&lt;=K11,AC4,AQ19)</f>
        <v>BPN</v>
      </c>
      <c r="AR18" s="30" t="str">
        <f>IF(AC14&lt;=K11,AC4,AR19)</f>
        <v>BPN</v>
      </c>
      <c r="AS18" s="30" t="str">
        <f>IF(AC15&lt;=K11,AC4,AS19)</f>
        <v>BPN</v>
      </c>
      <c r="AT18" s="30" t="str">
        <f>IF(AC16&lt;=K11,AC4,AT19)</f>
        <v>BPN</v>
      </c>
      <c r="AU18" s="30" t="str">
        <f>IF(AD17&lt;=K11,AD4,AU19)</f>
        <v>BPN</v>
      </c>
      <c r="AV18" s="30" t="str">
        <f>IF(AD18&lt;=K11,AD4,AV19)</f>
        <v>BPN</v>
      </c>
      <c r="AW18" s="30" t="str">
        <f>IF(AD19&lt;=K11,AD4,AW19)</f>
        <v>BPN</v>
      </c>
      <c r="AX18" s="30" t="str">
        <f>IF(AD20&lt;=K11,AD4,AX19)</f>
        <v>BPN</v>
      </c>
      <c r="AY18" s="30" t="str">
        <f>IF(AD21&lt;=K11,AD4,AY19)</f>
        <v>BPN</v>
      </c>
      <c r="AZ18" s="30" t="str">
        <f>IF(AE22&lt;=K11,AE4,"BPN")</f>
        <v>BPN</v>
      </c>
      <c r="BA18" s="30" t="str">
        <f>IF(AE23&lt;=K11,AE4,"BPN")</f>
        <v>BPN</v>
      </c>
      <c r="BB18" s="30" t="str">
        <f>IF(AE24&lt;=K11,AE4,"BPN")</f>
        <v>BPN</v>
      </c>
      <c r="BC18" s="30" t="str">
        <f>IF(AE25&lt;=K11,AE4,"BPN")</f>
        <v>BPN</v>
      </c>
    </row>
    <row r="19" spans="1:55" ht="15.95" customHeight="1">
      <c r="A19" s="167" t="s">
        <v>62</v>
      </c>
      <c r="B19" s="167"/>
      <c r="C19" s="167"/>
      <c r="D19" s="167"/>
      <c r="E19" s="167"/>
      <c r="F19" s="167"/>
      <c r="G19" s="167"/>
      <c r="H19" s="167"/>
      <c r="J19" s="144" t="s">
        <v>89</v>
      </c>
      <c r="K19" s="145" t="s">
        <v>39</v>
      </c>
      <c r="L19" s="145"/>
      <c r="M19" s="161" t="s">
        <v>40</v>
      </c>
      <c r="N19" s="161"/>
      <c r="O19" s="162" t="s">
        <v>58</v>
      </c>
      <c r="P19" s="162"/>
      <c r="S19" s="57" t="e">
        <f>IF(O22&gt;=10,1,0)</f>
        <v>#DIV/0!</v>
      </c>
      <c r="T19" s="30">
        <v>1</v>
      </c>
      <c r="U19" s="30" t="e">
        <f>IF(S29=T19,W19,U20)</f>
        <v>#DIV/0!</v>
      </c>
      <c r="W19" s="55" t="s">
        <v>66</v>
      </c>
      <c r="Y19" s="69">
        <v>70</v>
      </c>
      <c r="Z19" s="74"/>
      <c r="AA19" s="23"/>
      <c r="AB19" s="23"/>
      <c r="AC19" s="23"/>
      <c r="AD19" s="23">
        <v>15</v>
      </c>
      <c r="AE19" s="75">
        <v>14</v>
      </c>
      <c r="AF19" s="73">
        <v>70</v>
      </c>
      <c r="AG19" s="60"/>
      <c r="AI19" s="30" t="str">
        <f>IF(AA5&lt;=K11,AA4,AI20)</f>
        <v>3/4"</v>
      </c>
      <c r="AJ19" s="30" t="str">
        <f>IF(AA6&lt;=K11,AA4,AJ20)</f>
        <v>BPN</v>
      </c>
      <c r="AK19" s="30" t="str">
        <f>IF(AA7&lt;=K11,AA4,AK20)</f>
        <v>BPN</v>
      </c>
      <c r="AL19" s="30" t="str">
        <f>IF(AA8&lt;=K11,AA4,AL20)</f>
        <v>BPN</v>
      </c>
      <c r="AM19" s="30" t="str">
        <f>IF(AB9&lt;=K11,AB4,AM20)</f>
        <v>BPN</v>
      </c>
      <c r="AN19" s="30" t="str">
        <f>IF(AB10&lt;=K11,AB4,AN20)</f>
        <v>BPN</v>
      </c>
      <c r="AO19" s="30" t="str">
        <f>IF(AC11&lt;=K11,AC4,AO20)</f>
        <v>BPN</v>
      </c>
      <c r="AP19" s="30" t="str">
        <f>IF(AD12&lt;=K11,AD4,AP20)</f>
        <v>BPN</v>
      </c>
      <c r="AQ19" s="30" t="str">
        <f>IF(AD13&lt;=K11,AD4,AQ20)</f>
        <v>BPN</v>
      </c>
      <c r="AR19" s="30" t="str">
        <f>IF(AD14&lt;=K11,AD4,AR20)</f>
        <v>BPN</v>
      </c>
      <c r="AS19" s="30" t="str">
        <f>IF(AD15&lt;=K11,AD4,AS20)</f>
        <v>BPN</v>
      </c>
      <c r="AT19" s="30" t="str">
        <f>IF(AD16&lt;=K11,AD4,AT20)</f>
        <v>BPN</v>
      </c>
      <c r="AU19" s="30" t="str">
        <f>IF(AE17&lt;=K11,AE4,"BPN")</f>
        <v>BPN</v>
      </c>
      <c r="AV19" s="30" t="str">
        <f>IF(AE18&lt;=K11,AE4,"BPN")</f>
        <v>BPN</v>
      </c>
      <c r="AW19" s="30" t="str">
        <f>IF(AE19&lt;=K11,AE4,"BPN")</f>
        <v>BPN</v>
      </c>
      <c r="AX19" s="30" t="str">
        <f>IF(AE20&lt;=K11,AE4,"BPN")</f>
        <v>BPN</v>
      </c>
      <c r="AY19" s="30" t="str">
        <f>IF(AE21&lt;=K11,AE4,"BPN")</f>
        <v>BPN</v>
      </c>
    </row>
    <row r="20" spans="1:55" ht="15.95" customHeight="1">
      <c r="A20" s="167"/>
      <c r="B20" s="167"/>
      <c r="C20" s="167"/>
      <c r="D20" s="167"/>
      <c r="E20" s="167"/>
      <c r="F20" s="167"/>
      <c r="G20" s="167"/>
      <c r="H20" s="167"/>
      <c r="J20" s="144"/>
      <c r="K20" s="145"/>
      <c r="L20" s="145"/>
      <c r="M20" s="161"/>
      <c r="N20" s="161"/>
      <c r="O20" s="162"/>
      <c r="P20" s="162"/>
      <c r="S20" s="57">
        <f>IF(O23&gt;10,4,0)</f>
        <v>0</v>
      </c>
      <c r="T20" s="30">
        <v>2</v>
      </c>
      <c r="U20" s="30" t="e">
        <f>IF(S29=T20,W20,U21)</f>
        <v>#DIV/0!</v>
      </c>
      <c r="W20" s="58" t="s">
        <v>67</v>
      </c>
      <c r="Y20" s="69">
        <v>75</v>
      </c>
      <c r="Z20" s="74"/>
      <c r="AA20" s="23"/>
      <c r="AB20" s="23"/>
      <c r="AC20" s="23"/>
      <c r="AD20" s="23">
        <v>17</v>
      </c>
      <c r="AE20" s="75">
        <v>16</v>
      </c>
      <c r="AF20" s="73">
        <v>75</v>
      </c>
      <c r="AG20" s="60"/>
      <c r="AI20" s="30" t="str">
        <f>IF(AB5&lt;=K11,AB4,AI21)</f>
        <v>1"</v>
      </c>
      <c r="AJ20" s="30" t="str">
        <f>IF(AB6&lt;=K11,AB4,AJ21)</f>
        <v>BPN</v>
      </c>
      <c r="AK20" s="30" t="str">
        <f>IF(AB7&lt;=K11,AB4,AK21)</f>
        <v>BPN</v>
      </c>
      <c r="AL20" s="30" t="str">
        <f>IF(AB8&lt;=K11,AB4,AL21)</f>
        <v>BPN</v>
      </c>
      <c r="AM20" s="30" t="str">
        <f>IF(AC9&lt;=K11,AC4,AM21)</f>
        <v>BPN</v>
      </c>
      <c r="AN20" s="30" t="str">
        <f>IF(AC10&lt;=K11,AC4,AN21)</f>
        <v>BPN</v>
      </c>
      <c r="AO20" s="30" t="str">
        <f>IF(AD11&lt;=K11,AD4,AO21)</f>
        <v>BPN</v>
      </c>
      <c r="AP20" s="30" t="str">
        <f>IF(AE12&lt;=K11,AE4,"BPN")</f>
        <v>BPN</v>
      </c>
      <c r="AQ20" s="30" t="str">
        <f>IF(AE13&lt;=K11,AE4,"BPN")</f>
        <v>BPN</v>
      </c>
      <c r="AR20" s="30" t="str">
        <f>IF(AE14&lt;=K11,AE4,"BPN")</f>
        <v>BPN</v>
      </c>
      <c r="AS20" s="30" t="str">
        <f>IF(AE15&lt;=K11,AE4,"BPN")</f>
        <v>BPN</v>
      </c>
      <c r="AT20" s="30" t="str">
        <f>IF(AE16&lt;=K11,AE4,"BPN")</f>
        <v>BPN</v>
      </c>
    </row>
    <row r="21" spans="1:55" ht="15.95" customHeight="1">
      <c r="A21" s="141" t="s">
        <v>76</v>
      </c>
      <c r="B21" s="141"/>
      <c r="C21" s="141"/>
      <c r="D21" s="141"/>
      <c r="E21" s="141"/>
      <c r="F21" s="141"/>
      <c r="G21" s="141"/>
      <c r="H21" s="141"/>
      <c r="J21" s="169" t="s">
        <v>86</v>
      </c>
      <c r="K21" s="169"/>
      <c r="L21" s="169"/>
      <c r="M21" s="169"/>
      <c r="N21" s="169"/>
      <c r="O21" s="169"/>
      <c r="P21" s="169"/>
      <c r="S21" s="57"/>
      <c r="T21" s="30">
        <v>3</v>
      </c>
      <c r="U21" s="30" t="e">
        <f>IF(S29=T21,W21,U22)</f>
        <v>#DIV/0!</v>
      </c>
      <c r="W21" s="58" t="s">
        <v>68</v>
      </c>
      <c r="Y21" s="69">
        <v>80</v>
      </c>
      <c r="Z21" s="74"/>
      <c r="AA21" s="23"/>
      <c r="AB21" s="23"/>
      <c r="AC21" s="23"/>
      <c r="AD21" s="23">
        <v>20</v>
      </c>
      <c r="AE21" s="75">
        <v>17</v>
      </c>
      <c r="AF21" s="73">
        <v>80</v>
      </c>
      <c r="AG21" s="60"/>
      <c r="AI21" s="30" t="str">
        <f>IF(AC5&lt;=K11,AC4,AI22)</f>
        <v>1-1/4"</v>
      </c>
      <c r="AJ21" s="30" t="str">
        <f>IF(AC6&lt;=K11,AC4,AJ22)</f>
        <v>BPN</v>
      </c>
      <c r="AK21" s="30" t="str">
        <f>IF(AC7&lt;=K11,AC4,AK22)</f>
        <v>BPN</v>
      </c>
      <c r="AL21" s="30" t="str">
        <f>IF(AC8&lt;=K11,AC4,AL22)</f>
        <v>BPN</v>
      </c>
      <c r="AM21" s="30" t="str">
        <f>IF(AD9&lt;=K11,AD4,AM22)</f>
        <v>BPN</v>
      </c>
      <c r="AN21" s="30" t="str">
        <f>IF(AD10&lt;=K11,AD4,AN22)</f>
        <v>BPN</v>
      </c>
      <c r="AO21" s="30" t="str">
        <f>IF(AE11&lt;=K11,AE4,"BPN")</f>
        <v>BPN</v>
      </c>
    </row>
    <row r="22" spans="1:55" ht="15.95" customHeight="1">
      <c r="A22" s="141"/>
      <c r="B22" s="141"/>
      <c r="C22" s="141"/>
      <c r="D22" s="141"/>
      <c r="E22" s="141"/>
      <c r="F22" s="141"/>
      <c r="G22" s="141"/>
      <c r="H22" s="141"/>
      <c r="J22" s="29" t="s">
        <v>92</v>
      </c>
      <c r="K22" s="27">
        <f>T7</f>
        <v>0</v>
      </c>
      <c r="L22" s="25" t="s">
        <v>54</v>
      </c>
      <c r="M22" s="26">
        <f>U7</f>
        <v>0</v>
      </c>
      <c r="N22" s="25" t="s">
        <v>53</v>
      </c>
      <c r="O22" s="28" t="e">
        <f>V7</f>
        <v>#DIV/0!</v>
      </c>
      <c r="P22" s="25" t="s">
        <v>51</v>
      </c>
      <c r="Q22" s="61"/>
      <c r="R22" s="61"/>
      <c r="S22" s="57"/>
      <c r="T22" s="30">
        <v>5</v>
      </c>
      <c r="U22" s="30" t="e">
        <f>IF(S29=T22,W22,U23)</f>
        <v>#DIV/0!</v>
      </c>
      <c r="W22" s="58" t="s">
        <v>69</v>
      </c>
      <c r="Y22" s="69">
        <v>85</v>
      </c>
      <c r="Z22" s="74"/>
      <c r="AA22" s="23"/>
      <c r="AB22" s="23"/>
      <c r="AC22" s="23"/>
      <c r="AD22" s="23"/>
      <c r="AE22" s="75">
        <v>18</v>
      </c>
      <c r="AF22" s="73">
        <v>85</v>
      </c>
      <c r="AG22" s="60"/>
      <c r="AI22" s="30" t="str">
        <f>IF(AD5&lt;=K11,AD4,AI23)</f>
        <v>1-1/2"</v>
      </c>
      <c r="AJ22" s="30" t="str">
        <f>IF(AD6&lt;=K11,AD4,AJ23)</f>
        <v>BPN</v>
      </c>
      <c r="AK22" s="30" t="str">
        <f>IF(AD7&lt;=K11,AD4,AK23)</f>
        <v>BPN</v>
      </c>
      <c r="AL22" s="30" t="str">
        <f>IF(AD8&lt;=K11,AD4,AL23)</f>
        <v>BPN</v>
      </c>
      <c r="AM22" s="30" t="str">
        <f>IF(AE9&lt;=K11,AE4,"BPN")</f>
        <v>BPN</v>
      </c>
      <c r="AN22" s="30" t="str">
        <f>IF(AE10&lt;=K11,AE4,"BPN")</f>
        <v>BPN</v>
      </c>
    </row>
    <row r="23" spans="1:55" ht="15.95" customHeight="1">
      <c r="A23" s="168" t="s">
        <v>109</v>
      </c>
      <c r="B23" s="168"/>
      <c r="C23" s="168"/>
      <c r="D23" s="168"/>
      <c r="E23" s="168"/>
      <c r="F23" s="168"/>
      <c r="G23" s="168"/>
      <c r="H23" s="168"/>
      <c r="J23" s="29" t="s">
        <v>94</v>
      </c>
      <c r="K23" s="27">
        <f>T8</f>
        <v>0</v>
      </c>
      <c r="L23" s="25" t="s">
        <v>54</v>
      </c>
      <c r="M23" s="26">
        <f>U8</f>
        <v>0</v>
      </c>
      <c r="N23" s="25" t="s">
        <v>53</v>
      </c>
      <c r="O23" s="28">
        <f>V8</f>
        <v>0</v>
      </c>
      <c r="P23" s="25" t="s">
        <v>51</v>
      </c>
      <c r="Q23" s="61"/>
      <c r="R23" s="61"/>
      <c r="S23" s="57" t="e">
        <f>IF(O25&gt;=10,1,0)</f>
        <v>#DIV/0!</v>
      </c>
      <c r="T23" s="30">
        <v>10</v>
      </c>
      <c r="U23" s="30" t="e">
        <f>IF(S29=T23,W23,U24)</f>
        <v>#DIV/0!</v>
      </c>
      <c r="W23" s="58" t="s">
        <v>70</v>
      </c>
      <c r="Y23" s="69">
        <v>90</v>
      </c>
      <c r="Z23" s="74"/>
      <c r="AA23" s="23"/>
      <c r="AB23" s="23"/>
      <c r="AC23" s="23"/>
      <c r="AD23" s="23"/>
      <c r="AE23" s="75">
        <v>19</v>
      </c>
      <c r="AF23" s="73">
        <v>90</v>
      </c>
      <c r="AG23" s="60"/>
      <c r="AI23" s="30" t="str">
        <f>IF(AE5&lt;=K11,AE4,"BPN")</f>
        <v>2"</v>
      </c>
      <c r="AJ23" s="30" t="str">
        <f>IF(AE6&lt;=K11,AE4,"BPN")</f>
        <v>BPN</v>
      </c>
      <c r="AK23" s="30" t="str">
        <f>IF(AE7&lt;=K11,AE4,"BPN")</f>
        <v>BPN</v>
      </c>
      <c r="AL23" s="30" t="str">
        <f>IF(AE8&lt;=K11,AE4,"BPN")</f>
        <v>BPN</v>
      </c>
    </row>
    <row r="24" spans="1:55" ht="15.95" customHeight="1">
      <c r="A24" s="168"/>
      <c r="B24" s="168"/>
      <c r="C24" s="168"/>
      <c r="D24" s="168"/>
      <c r="E24" s="168"/>
      <c r="F24" s="168"/>
      <c r="G24" s="168"/>
      <c r="H24" s="168"/>
      <c r="J24" s="169" t="s">
        <v>87</v>
      </c>
      <c r="K24" s="169"/>
      <c r="L24" s="169"/>
      <c r="M24" s="169"/>
      <c r="N24" s="169"/>
      <c r="O24" s="169"/>
      <c r="P24" s="169"/>
      <c r="Q24" s="61"/>
      <c r="R24" s="61"/>
      <c r="S24" s="57">
        <f>IF(O26&gt;10,4,0)</f>
        <v>0</v>
      </c>
      <c r="T24" s="30">
        <v>11</v>
      </c>
      <c r="U24" s="30" t="e">
        <f>IF(S29=T24,W24,U25)</f>
        <v>#DIV/0!</v>
      </c>
      <c r="W24" s="58" t="s">
        <v>71</v>
      </c>
      <c r="Y24" s="69">
        <v>95</v>
      </c>
      <c r="Z24" s="74"/>
      <c r="AA24" s="23"/>
      <c r="AB24" s="23"/>
      <c r="AC24" s="23"/>
      <c r="AD24" s="23"/>
      <c r="AE24" s="75">
        <v>20</v>
      </c>
      <c r="AF24" s="73">
        <v>95</v>
      </c>
      <c r="AG24" s="60"/>
    </row>
    <row r="25" spans="1:55" ht="15.95" customHeight="1" thickBot="1">
      <c r="J25" s="29" t="s">
        <v>93</v>
      </c>
      <c r="K25" s="27">
        <f>K22</f>
        <v>0</v>
      </c>
      <c r="L25" s="25" t="s">
        <v>54</v>
      </c>
      <c r="M25" s="26">
        <f>M22</f>
        <v>0</v>
      </c>
      <c r="N25" s="25" t="s">
        <v>53</v>
      </c>
      <c r="O25" s="28" t="e">
        <f>ROUND(AN45-(K11/AL8)*(AL8-1),0)</f>
        <v>#DIV/0!</v>
      </c>
      <c r="P25" s="25" t="s">
        <v>51</v>
      </c>
      <c r="Q25" s="76"/>
      <c r="R25" s="76"/>
      <c r="S25" s="57"/>
      <c r="T25" s="30">
        <v>15</v>
      </c>
      <c r="U25" s="30" t="e">
        <f>IF(S29=T25,W25,U26)</f>
        <v>#DIV/0!</v>
      </c>
      <c r="W25" s="58" t="s">
        <v>72</v>
      </c>
      <c r="Y25" s="77">
        <v>100</v>
      </c>
      <c r="Z25" s="78"/>
      <c r="AA25" s="53"/>
      <c r="AB25" s="53"/>
      <c r="AC25" s="53"/>
      <c r="AD25" s="53"/>
      <c r="AE25" s="79">
        <v>21</v>
      </c>
      <c r="AF25" s="80">
        <v>100</v>
      </c>
      <c r="AG25" s="60"/>
    </row>
    <row r="26" spans="1:55" ht="15.95" customHeight="1">
      <c r="B26" s="164" t="s">
        <v>63</v>
      </c>
      <c r="C26" s="164"/>
      <c r="D26" s="164"/>
      <c r="E26" s="56">
        <v>400</v>
      </c>
      <c r="F26" s="56" t="s">
        <v>51</v>
      </c>
      <c r="G26" s="30" t="s">
        <v>81</v>
      </c>
      <c r="J26" s="29" t="s">
        <v>95</v>
      </c>
      <c r="K26" s="27">
        <f>K23</f>
        <v>0</v>
      </c>
      <c r="L26" s="25" t="s">
        <v>54</v>
      </c>
      <c r="M26" s="26">
        <f>M23</f>
        <v>0</v>
      </c>
      <c r="N26" s="25" t="s">
        <v>53</v>
      </c>
      <c r="O26" s="28">
        <f>IF(M26=0,0,ROUND(O25+K11/AL8,0))</f>
        <v>0</v>
      </c>
      <c r="P26" s="25" t="s">
        <v>51</v>
      </c>
      <c r="Q26" s="61"/>
      <c r="R26" s="61"/>
      <c r="S26" s="57"/>
      <c r="T26" s="30">
        <v>22</v>
      </c>
      <c r="U26" s="30">
        <f>IF(T17=T26,W26,U27)</f>
        <v>0</v>
      </c>
      <c r="W26" s="58" t="s">
        <v>73</v>
      </c>
    </row>
    <row r="27" spans="1:55" ht="15.95" customHeight="1">
      <c r="B27" s="172" t="s">
        <v>63</v>
      </c>
      <c r="C27" s="173"/>
      <c r="D27" s="174"/>
      <c r="E27" s="56">
        <v>300</v>
      </c>
      <c r="F27" s="56" t="s">
        <v>51</v>
      </c>
      <c r="G27" s="30" t="s">
        <v>82</v>
      </c>
      <c r="J27" s="151" t="s">
        <v>88</v>
      </c>
      <c r="K27" s="152"/>
      <c r="L27" s="152"/>
      <c r="M27" s="152"/>
      <c r="N27" s="152"/>
      <c r="O27" s="152"/>
      <c r="P27" s="153"/>
      <c r="Q27" s="61"/>
      <c r="R27" s="61"/>
      <c r="S27" s="57" t="e">
        <f>IF(O28&gt;=10,1,0)</f>
        <v>#DIV/0!</v>
      </c>
      <c r="W27" s="58"/>
    </row>
    <row r="28" spans="1:55" ht="15.95" customHeight="1">
      <c r="B28" s="164" t="s">
        <v>2</v>
      </c>
      <c r="C28" s="164"/>
      <c r="D28" s="164"/>
      <c r="E28" s="56">
        <v>140</v>
      </c>
      <c r="F28" s="56" t="s">
        <v>52</v>
      </c>
      <c r="J28" s="29" t="s">
        <v>91</v>
      </c>
      <c r="K28" s="27">
        <f>K22</f>
        <v>0</v>
      </c>
      <c r="L28" s="25" t="s">
        <v>54</v>
      </c>
      <c r="M28" s="26">
        <f>M25</f>
        <v>0</v>
      </c>
      <c r="N28" s="25" t="s">
        <v>53</v>
      </c>
      <c r="O28" s="28" t="e">
        <f>ROUND(AN46-(K11/AL8)*(AL8-1),0)</f>
        <v>#DIV/0!</v>
      </c>
      <c r="P28" s="25" t="s">
        <v>51</v>
      </c>
      <c r="Q28" s="61"/>
      <c r="R28" s="61"/>
      <c r="S28" s="57">
        <f>IF(O29&gt;10,4,0)</f>
        <v>0</v>
      </c>
    </row>
    <row r="29" spans="1:55" ht="15.95" customHeight="1">
      <c r="B29" s="164" t="s">
        <v>64</v>
      </c>
      <c r="C29" s="164"/>
      <c r="D29" s="164"/>
      <c r="E29" s="56">
        <v>125</v>
      </c>
      <c r="F29" s="56" t="s">
        <v>51</v>
      </c>
      <c r="J29" s="29" t="s">
        <v>97</v>
      </c>
      <c r="K29" s="27">
        <f>K23</f>
        <v>0</v>
      </c>
      <c r="L29" s="25" t="s">
        <v>54</v>
      </c>
      <c r="M29" s="26">
        <f>M26</f>
        <v>0</v>
      </c>
      <c r="N29" s="25" t="s">
        <v>53</v>
      </c>
      <c r="O29" s="28">
        <f>IF(M29=0,0,ROUND(O28+K11/AL8,0))</f>
        <v>0</v>
      </c>
      <c r="P29" s="25" t="s">
        <v>51</v>
      </c>
      <c r="Q29" s="76"/>
      <c r="R29" s="76"/>
      <c r="S29" s="57" t="e">
        <f>SUM(S19:S28)</f>
        <v>#DIV/0!</v>
      </c>
    </row>
    <row r="30" spans="1:55" ht="15.95" customHeight="1">
      <c r="B30" s="164" t="s">
        <v>18</v>
      </c>
      <c r="C30" s="164"/>
      <c r="D30" s="164"/>
      <c r="E30" s="56">
        <v>10</v>
      </c>
      <c r="F30" s="56" t="s">
        <v>51</v>
      </c>
      <c r="Q30" s="61"/>
      <c r="R30" s="61"/>
      <c r="S30" s="61"/>
    </row>
    <row r="31" spans="1:55" ht="15.95" customHeight="1">
      <c r="B31" s="164" t="s">
        <v>12</v>
      </c>
      <c r="C31" s="164"/>
      <c r="D31" s="164"/>
      <c r="E31" s="56">
        <v>0</v>
      </c>
      <c r="F31" s="56" t="s">
        <v>53</v>
      </c>
      <c r="Q31" s="61"/>
      <c r="R31" s="61"/>
      <c r="S31" s="61"/>
    </row>
    <row r="32" spans="1:55" ht="15.95" customHeight="1">
      <c r="Q32" s="61"/>
      <c r="R32" s="61"/>
      <c r="S32" s="61"/>
    </row>
    <row r="33" spans="2:55" ht="15.95" customHeight="1">
      <c r="B33" s="175" t="e">
        <f>IF(W16=4,"Error: Please contact manufactor on given specifications. Outlet Pressure may not be achieved with given flow.",0)</f>
        <v>#DIV/0!</v>
      </c>
      <c r="C33" s="175"/>
      <c r="D33" s="175"/>
      <c r="E33" s="175"/>
      <c r="F33" s="175"/>
    </row>
    <row r="34" spans="2:55" ht="15.95" customHeight="1">
      <c r="B34" s="175"/>
      <c r="C34" s="175"/>
      <c r="D34" s="175"/>
      <c r="E34" s="175"/>
      <c r="F34" s="175"/>
      <c r="BB34" s="30">
        <f>IF(T8=0,0,BB35)</f>
        <v>0</v>
      </c>
    </row>
    <row r="35" spans="2:55" ht="15.95" customHeight="1">
      <c r="B35" s="175"/>
      <c r="C35" s="175"/>
      <c r="D35" s="175"/>
      <c r="E35" s="175"/>
      <c r="F35" s="175"/>
      <c r="AD35" s="30" t="s">
        <v>13</v>
      </c>
      <c r="AE35" s="30">
        <v>80</v>
      </c>
      <c r="BB35" s="30">
        <f>BC37</f>
        <v>0</v>
      </c>
    </row>
    <row r="36" spans="2:55" ht="15.95" customHeight="1" thickBot="1">
      <c r="B36" s="175"/>
      <c r="C36" s="175"/>
      <c r="D36" s="175"/>
      <c r="E36" s="175"/>
      <c r="F36" s="175"/>
      <c r="AD36" s="30" t="s">
        <v>2</v>
      </c>
      <c r="AE36" s="30">
        <v>140</v>
      </c>
      <c r="AL36" s="30" t="s">
        <v>0</v>
      </c>
      <c r="BB36" s="30" t="s">
        <v>8</v>
      </c>
    </row>
    <row r="37" spans="2:55" ht="15.95" customHeight="1">
      <c r="B37" s="175"/>
      <c r="C37" s="175"/>
      <c r="D37" s="175"/>
      <c r="E37" s="175"/>
      <c r="F37" s="175"/>
      <c r="AD37" s="30" t="s">
        <v>3</v>
      </c>
      <c r="AE37" s="30">
        <v>75</v>
      </c>
      <c r="AW37" s="30">
        <v>0</v>
      </c>
      <c r="AX37" s="71">
        <v>0</v>
      </c>
      <c r="BB37" s="71">
        <v>0</v>
      </c>
      <c r="BC37" s="30">
        <f>IF(K11&lt;=BB37,AW37,BC38)</f>
        <v>0</v>
      </c>
    </row>
    <row r="38" spans="2:55" ht="15.95" customHeight="1">
      <c r="AD38" s="30" t="s">
        <v>16</v>
      </c>
      <c r="AE38" s="30">
        <v>15</v>
      </c>
      <c r="AL38" s="30" t="s">
        <v>56</v>
      </c>
      <c r="AN38" s="30">
        <f>K13</f>
        <v>0</v>
      </c>
      <c r="AV38" s="81"/>
      <c r="AW38" s="30">
        <v>5</v>
      </c>
      <c r="AX38" s="23">
        <v>3</v>
      </c>
      <c r="BB38" s="23">
        <v>3</v>
      </c>
      <c r="BC38" s="30">
        <f>IF(K11&lt;=BB38,AW38,BC39)</f>
        <v>5</v>
      </c>
    </row>
    <row r="39" spans="2:55">
      <c r="U39" s="30">
        <f>IF(T7=0,0,IF(W16=4,99,S29))</f>
        <v>0</v>
      </c>
      <c r="AD39" s="30" t="s">
        <v>17</v>
      </c>
      <c r="AE39" s="30">
        <v>25</v>
      </c>
      <c r="AL39" s="30" t="s">
        <v>15</v>
      </c>
      <c r="AN39" s="30">
        <f>K15</f>
        <v>0</v>
      </c>
      <c r="AV39" s="81"/>
      <c r="AW39" s="30">
        <v>10</v>
      </c>
      <c r="AX39" s="23">
        <v>5</v>
      </c>
      <c r="BB39" s="23">
        <v>5</v>
      </c>
      <c r="BC39" s="30">
        <f>IF(K11&lt;=BB39,AW39,BC40)</f>
        <v>10</v>
      </c>
    </row>
    <row r="40" spans="2:55">
      <c r="AD40" s="30" t="s">
        <v>12</v>
      </c>
      <c r="AE40" s="30">
        <v>0</v>
      </c>
      <c r="AL40" s="30" t="s">
        <v>1</v>
      </c>
      <c r="AN40" s="30" t="str">
        <f>IF( AN38=AO37," ",IF(AN39=AO37," ",AP40))</f>
        <v xml:space="preserve"> </v>
      </c>
      <c r="AP40" s="30" t="e">
        <f>ROUND(AN38/AN39,2)</f>
        <v>#DIV/0!</v>
      </c>
      <c r="AV40" s="81"/>
      <c r="AW40" s="30">
        <v>15</v>
      </c>
      <c r="AX40" s="23">
        <v>8</v>
      </c>
      <c r="BB40" s="23">
        <v>8</v>
      </c>
      <c r="BC40" s="30">
        <f>IF(K11&lt;=BB40,AW40,BC41)</f>
        <v>15</v>
      </c>
    </row>
    <row r="41" spans="2:55">
      <c r="U41" s="30" t="str">
        <f>IF(U39=99,"ERROR",IF(U39=33,"Figure9",IF(U39=22,"Figure8",IF(U39=15,"Figure7",IF(U39=11,"Figure6",IF(U39=10,"Figure5",IF(U39=5,"Figure4",IF(U39=3,"Figure3",IF(U39=2,"Figure2",IF(U39=1,"Figure1","Figure0"))))))))))</f>
        <v>Figure0</v>
      </c>
      <c r="AL41" s="30" t="e">
        <f>(AP40^(1/4))</f>
        <v>#DIV/0!</v>
      </c>
      <c r="AV41" s="81"/>
      <c r="AW41" s="30">
        <v>20</v>
      </c>
      <c r="AX41" s="23">
        <v>12</v>
      </c>
      <c r="BB41" s="23">
        <v>12</v>
      </c>
      <c r="BC41" s="30">
        <f>IF(K11&lt;=BB41,AW41,BC42)</f>
        <v>20</v>
      </c>
    </row>
    <row r="42" spans="2:55">
      <c r="AL42" s="30" t="str">
        <f>IF(AN38=AV37," ",IF(AN39=AR37," ",AP43))</f>
        <v xml:space="preserve"> </v>
      </c>
      <c r="AP42" s="30" t="e">
        <f>IF(AP40&lt;=4,ROUND(AL41,0),ROUNDUP(AL41,0))</f>
        <v>#DIV/0!</v>
      </c>
      <c r="AQ42" s="30" t="e">
        <f>AL41</f>
        <v>#DIV/0!</v>
      </c>
      <c r="AV42" s="81"/>
      <c r="AW42" s="30">
        <v>25</v>
      </c>
      <c r="AX42" s="23">
        <v>16</v>
      </c>
      <c r="BB42" s="23">
        <v>16</v>
      </c>
      <c r="BC42" s="30">
        <f>IF(K11&lt;=BB42,AW42,BC43)</f>
        <v>25</v>
      </c>
    </row>
    <row r="43" spans="2:55">
      <c r="AL43" s="30" t="s">
        <v>36</v>
      </c>
      <c r="AN43" s="30">
        <f>IF( AN38=AO37,0,IF(AN39=AR37," ",AP42))</f>
        <v>0</v>
      </c>
      <c r="AP43" s="30" t="e">
        <f>IF(AP40&gt;4,"Step Reduction is Needed","No Step Reduction is Needed")</f>
        <v>#DIV/0!</v>
      </c>
      <c r="AV43" s="81"/>
      <c r="AW43" s="30">
        <v>30</v>
      </c>
      <c r="AX43" s="23">
        <v>20</v>
      </c>
      <c r="BB43" s="23">
        <v>20</v>
      </c>
      <c r="BC43" s="30">
        <f>IF(K11&lt;=BB43,AW43,AY44)</f>
        <v>30</v>
      </c>
    </row>
    <row r="44" spans="2:55">
      <c r="AL44" s="30">
        <f>IF(AN39=0,0,IF(AN43&gt;=1,"First Step",0))</f>
        <v>0</v>
      </c>
      <c r="AM44" s="30">
        <f>IF(AN38=AV37,0,IF(AN39=0,0,IF(AN44=0," ",IF(AN44&lt;25,"Low Range",IF(AN44&gt;80,"High Range",AQ44)))))</f>
        <v>0</v>
      </c>
      <c r="AN44" s="30">
        <f>IF(AN38=AV37,0,IF(AN39=0,0,IF(AN39=AR37," ",AR44)))</f>
        <v>0</v>
      </c>
      <c r="AO44" s="30">
        <f>IF(AN44=0,0,"(PSI)")</f>
        <v>0</v>
      </c>
      <c r="AQ44" s="30" t="e">
        <f>IF(AS44&gt;=AN39,"Step Required","Step Required")</f>
        <v>#DIV/0!</v>
      </c>
      <c r="AR44" s="30" t="e">
        <f>IF(AQ44="Step Required",AS44,AN39)</f>
        <v>#DIV/0!</v>
      </c>
      <c r="AS44" s="30" t="e">
        <f>ROUNDUP(AT44,0.5)</f>
        <v>#DIV/0!</v>
      </c>
      <c r="AT44" s="30" t="e">
        <f>IF(AU44&gt;125,125,AU44)</f>
        <v>#DIV/0!</v>
      </c>
      <c r="AU44" s="30" t="e">
        <f>IF(AP43="Step Reduction is Needed",AN38/((AP40)^(1/AP42)),AN39)</f>
        <v>#DIV/0!</v>
      </c>
      <c r="AV44" s="81"/>
    </row>
    <row r="45" spans="2:55">
      <c r="AL45" s="30">
        <f>IF(AN39=0,0,IF(AN43&gt;=2,"Second Step",0))</f>
        <v>0</v>
      </c>
      <c r="AM45" s="30">
        <f>IF(AN38=0,0,IF(AN40=" ",0,IF(AN45=0,0,IF(AN45&lt;25,"Low Range",IF(AN45&gt;80,"High Range",AQ45)))))</f>
        <v>0</v>
      </c>
      <c r="AN45" s="30">
        <f>IF( AN38=AV37,0,IF(AN39=0,0,IF(AN39=AR37," ",AR45)))</f>
        <v>0</v>
      </c>
      <c r="AO45" s="30">
        <f t="shared" ref="AO45:AO46" si="0">IF(AN45=0,0,"(PSI)")</f>
        <v>0</v>
      </c>
      <c r="AQ45" s="30" t="e">
        <f>IF(AS45&gt;=AN39,"Step Required","Step Not Required")</f>
        <v>#DIV/0!</v>
      </c>
      <c r="AR45" s="30" t="e">
        <f>IF(AQ45="Step Required",AS45,0)</f>
        <v>#DIV/0!</v>
      </c>
      <c r="AS45" s="30" t="e">
        <f>ROUNDUP(AU45,0)</f>
        <v>#DIV/0!</v>
      </c>
      <c r="AU45" s="30" t="e">
        <f>AU44/((AP40)^(1/AP42))</f>
        <v>#DIV/0!</v>
      </c>
      <c r="AV45" s="81"/>
    </row>
    <row r="46" spans="2:55">
      <c r="R46" s="31"/>
      <c r="AL46" s="30">
        <f>IF( AN39=0,0,IF(AN43&gt;=3,"Third Step",0))</f>
        <v>0</v>
      </c>
      <c r="AM46" s="30">
        <f>IF(AN38=0,0,IF(AN40=" ",0,IF(AN46=0,0,IF(AN46&lt;25,"Low Range",IF(AN46&gt;80,"High Range",AQ46)))))</f>
        <v>0</v>
      </c>
      <c r="AN46" s="30">
        <f>IF(AN38=AR37,0,IF(AN39=0,0,IF(AN39=AR37," ",AR46)))</f>
        <v>0</v>
      </c>
      <c r="AO46" s="30">
        <f t="shared" si="0"/>
        <v>0</v>
      </c>
      <c r="AQ46" s="30" t="e">
        <f>IF(AS46&gt;=AN39,"Step Required","Step Not Required")</f>
        <v>#DIV/0!</v>
      </c>
      <c r="AR46" s="30" t="e">
        <f>IF(AQ46="Step Required",AS46,0)</f>
        <v>#DIV/0!</v>
      </c>
      <c r="AS46" s="30" t="e">
        <f>ROUNDUP(AU46,0)</f>
        <v>#DIV/0!</v>
      </c>
      <c r="AU46" s="30" t="e">
        <f>AU45/((AP40)^(1/AP42))</f>
        <v>#DIV/0!</v>
      </c>
    </row>
    <row r="47" spans="2:55">
      <c r="R47" s="31"/>
    </row>
    <row r="48" spans="2:55">
      <c r="R48" s="31"/>
    </row>
    <row r="49" spans="18:18">
      <c r="R49" s="31"/>
    </row>
    <row r="50" spans="18:18">
      <c r="R50" s="31"/>
    </row>
    <row r="51" spans="18:18">
      <c r="R51" s="31"/>
    </row>
    <row r="52" spans="18:18">
      <c r="R52" s="31"/>
    </row>
    <row r="53" spans="18:18">
      <c r="R53" s="31"/>
    </row>
    <row r="54" spans="18:18">
      <c r="R54" s="31"/>
    </row>
    <row r="55" spans="18:18">
      <c r="R55" s="31"/>
    </row>
    <row r="56" spans="18:18">
      <c r="R56" s="31"/>
    </row>
    <row r="57" spans="18:18">
      <c r="R57" s="31"/>
    </row>
    <row r="58" spans="18:18">
      <c r="R58" s="31"/>
    </row>
    <row r="59" spans="18:18">
      <c r="R59" s="31"/>
    </row>
    <row r="60" spans="18:18">
      <c r="R60" s="31"/>
    </row>
  </sheetData>
  <sheetProtection sheet="1" objects="1" scenarios="1"/>
  <mergeCells count="36">
    <mergeCell ref="B33:F37"/>
    <mergeCell ref="J13:J14"/>
    <mergeCell ref="J15:J16"/>
    <mergeCell ref="J19:J20"/>
    <mergeCell ref="Z3:AE3"/>
    <mergeCell ref="A7:H9"/>
    <mergeCell ref="A10:H12"/>
    <mergeCell ref="A13:H15"/>
    <mergeCell ref="A16:H16"/>
    <mergeCell ref="K7:K8"/>
    <mergeCell ref="K9:K10"/>
    <mergeCell ref="K11:K12"/>
    <mergeCell ref="K13:K14"/>
    <mergeCell ref="K15:K16"/>
    <mergeCell ref="B26:D26"/>
    <mergeCell ref="B28:D28"/>
    <mergeCell ref="B29:D29"/>
    <mergeCell ref="B30:D30"/>
    <mergeCell ref="B31:D31"/>
    <mergeCell ref="B27:D27"/>
    <mergeCell ref="J27:P27"/>
    <mergeCell ref="E1:L4"/>
    <mergeCell ref="J17:J18"/>
    <mergeCell ref="K17:L18"/>
    <mergeCell ref="K19:L20"/>
    <mergeCell ref="M19:N20"/>
    <mergeCell ref="J7:J8"/>
    <mergeCell ref="J9:J10"/>
    <mergeCell ref="J11:J12"/>
    <mergeCell ref="O19:P20"/>
    <mergeCell ref="J21:P21"/>
    <mergeCell ref="J24:P24"/>
    <mergeCell ref="A17:H18"/>
    <mergeCell ref="A19:H20"/>
    <mergeCell ref="A21:H22"/>
    <mergeCell ref="A23:H24"/>
  </mergeCells>
  <conditionalFormatting sqref="Z5:AE25">
    <cfRule type="colorScale" priority="4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N38:AN39">
    <cfRule type="containsBlanks" dxfId="41" priority="47">
      <formula>LEN(TRIM(AN38))=0</formula>
    </cfRule>
  </conditionalFormatting>
  <conditionalFormatting sqref="AM44:AM47">
    <cfRule type="containsText" dxfId="40" priority="46" operator="containsText" text="Range">
      <formula>NOT(ISERROR(SEARCH("Range",AM44)))</formula>
    </cfRule>
  </conditionalFormatting>
  <conditionalFormatting sqref="AN43:AO43">
    <cfRule type="cellIs" dxfId="39" priority="45" operator="equal">
      <formula>0</formula>
    </cfRule>
  </conditionalFormatting>
  <conditionalFormatting sqref="BB37:BB43">
    <cfRule type="colorScale" priority="3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X37:AX43">
    <cfRule type="colorScale" priority="3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K7:K16">
    <cfRule type="containsBlanks" dxfId="38" priority="23">
      <formula>LEN(TRIM(K7))=0</formula>
    </cfRule>
  </conditionalFormatting>
  <conditionalFormatting sqref="B33">
    <cfRule type="expression" dxfId="37" priority="20">
      <formula>$K$15=0</formula>
    </cfRule>
    <cfRule type="expression" dxfId="36" priority="21">
      <formula>$K$7=0</formula>
    </cfRule>
    <cfRule type="cellIs" dxfId="35" priority="22" operator="equal">
      <formula>0</formula>
    </cfRule>
  </conditionalFormatting>
  <conditionalFormatting sqref="J19:P29">
    <cfRule type="expression" dxfId="34" priority="15">
      <formula>$K$15=$L$15</formula>
    </cfRule>
    <cfRule type="expression" dxfId="33" priority="16">
      <formula>$K$13=$L$13</formula>
    </cfRule>
    <cfRule type="expression" dxfId="32" priority="17">
      <formula>$K$11=$L$11</formula>
    </cfRule>
    <cfRule type="expression" dxfId="31" priority="19">
      <formula>$K$7=$L$7</formula>
    </cfRule>
  </conditionalFormatting>
  <conditionalFormatting sqref="J24:P29">
    <cfRule type="expression" dxfId="30" priority="14">
      <formula>$W$12&lt;=1</formula>
    </cfRule>
  </conditionalFormatting>
  <conditionalFormatting sqref="J27:P29">
    <cfRule type="expression" dxfId="29" priority="13">
      <formula>$W$12&lt;=2</formula>
    </cfRule>
  </conditionalFormatting>
  <conditionalFormatting sqref="J23:P23">
    <cfRule type="expression" dxfId="28" priority="12">
      <formula>$O$23=0</formula>
    </cfRule>
  </conditionalFormatting>
  <conditionalFormatting sqref="J26:P26">
    <cfRule type="expression" dxfId="27" priority="11">
      <formula>$O$26=0</formula>
    </cfRule>
  </conditionalFormatting>
  <conditionalFormatting sqref="J29:P29">
    <cfRule type="expression" dxfId="26" priority="10">
      <formula>$O$29=0</formula>
    </cfRule>
  </conditionalFormatting>
  <conditionalFormatting sqref="J17:L18">
    <cfRule type="expression" dxfId="25" priority="6">
      <formula>$K$7=$L$9</formula>
    </cfRule>
    <cfRule type="expression" dxfId="24" priority="7">
      <formula>$K$15=0</formula>
    </cfRule>
    <cfRule type="expression" dxfId="23" priority="8">
      <formula>$K$13=0</formula>
    </cfRule>
    <cfRule type="expression" dxfId="22" priority="9">
      <formula>$K$11:$K$16=$L$10</formula>
    </cfRule>
  </conditionalFormatting>
  <dataValidations xWindow="719" yWindow="315" count="8">
    <dataValidation type="custom" allowBlank="1" showInputMessage="1" showErrorMessage="1" errorTitle="Error" sqref="B33">
      <formula1>O31&lt;10</formula1>
    </dataValidation>
    <dataValidation type="whole" operator="lessThan" allowBlank="1" showInputMessage="1" showErrorMessage="1" promptTitle="Minimum Flow" prompt="Leave value blank if unknown." sqref="K9:K10">
      <formula1>K7</formula1>
    </dataValidation>
    <dataValidation type="whole" allowBlank="1" showInputMessage="1" showErrorMessage="1" error="Value Must Be Between 300-1" promptTitle="PRV Pressure" prompt="When entering in values, please note:_x000a__x000a_Max working pressure for valves are 300 PSI with the exception of the NR3XL (1/2&quot;-1-1/4&quot;) with a working pressure of 400PSI" sqref="AN38:AO38">
      <formula1>0</formula1>
      <formula2>400</formula2>
    </dataValidation>
    <dataValidation type="decimal" allowBlank="1" showInputMessage="1" showErrorMessage="1" error="Value Must Be Between 125-10_x000a_" sqref="AN39:AO39">
      <formula1>10</formula1>
      <formula2>125</formula2>
    </dataValidation>
    <dataValidation type="whole" allowBlank="1" showInputMessage="1" showErrorMessage="1" error="Value must be between 300-0" promptTitle="Max Flow" prompt="Value must be between 100-0 GPM." sqref="K7:K8">
      <formula1>0</formula1>
      <formula2>100</formula2>
    </dataValidation>
    <dataValidation type="whole" allowBlank="1" showInputMessage="1" showErrorMessage="1" sqref="K11:K12">
      <formula1>5</formula1>
      <formula2>20</formula2>
    </dataValidation>
    <dataValidation type="whole" allowBlank="1" showInputMessage="1" showErrorMessage="1" promptTitle="Inlet Pressure" prompt="Value must be less than or equal to 400 PSI." sqref="K13:K14">
      <formula1>0</formula1>
      <formula2>400</formula2>
    </dataValidation>
    <dataValidation type="whole" allowBlank="1" showInputMessage="1" showErrorMessage="1" error="Value must be between 125(High range)-10(Low range)" promptTitle="Outlet Pressure" prompt="Value must be between 125-10 PSI." sqref="K15:K16">
      <formula1>10</formula1>
      <formula2>125</formula2>
    </dataValidation>
  </dataValidations>
  <hyperlinks>
    <hyperlink ref="E1:L4" r:id="rId1" display="Model NR3XL"/>
    <hyperlink ref="W19" location="'2'!A1" display="Figure. 1"/>
    <hyperlink ref="A10:H12" location="NR3XL!K7" display="1) Enter the value for the max flow through the system. Then, enter the value for the minimum flow. (If the minimum flow is unknown, leave blank or enter &quot;0&quot;"/>
    <hyperlink ref="A13:H15" location="NR3XL!K11" display="2) Enter the value for the allowable falloff. Falloff is defined as the pressure drop within a system due to a given flow: i.e. the greater the flow the greater the falloff. "/>
    <hyperlink ref="A17:H18" location="NR3XL!K15" display="3) Enter the value for the system's inlet pressure and the desired outlet pressure. "/>
    <hyperlink ref="A21:H22" location="NR3XL!K17" display="5)Please refer to the cell &quot;Figure. Number&quot; in order to see a visual representation of the system."/>
  </hyperlinks>
  <pageMargins left="0.7" right="0.7" top="0.75" bottom="0.75" header="0.3" footer="0.3"/>
  <pageSetup scale="57" orientation="portrait" horizontalDpi="90" verticalDpi="90" r:id="rId2"/>
  <ignoredErrors>
    <ignoredError sqref="O22 O25 O28 K17 B33" evalError="1"/>
  </ignoredErrors>
  <drawing r:id="rId3"/>
  <legacyDrawing r:id="rId4"/>
  <oleObjects>
    <oleObject progId="PBrush" shapeId="3073" r:id="rId5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BE60"/>
  <sheetViews>
    <sheetView zoomScaleNormal="100" workbookViewId="0">
      <selection activeCell="K7" sqref="K7:K8"/>
    </sheetView>
  </sheetViews>
  <sheetFormatPr defaultRowHeight="15"/>
  <cols>
    <col min="1" max="1" width="6" style="30" customWidth="1"/>
    <col min="2" max="2" width="15" style="30" customWidth="1"/>
    <col min="3" max="3" width="6.42578125" style="30" customWidth="1"/>
    <col min="4" max="4" width="5.28515625" style="30" customWidth="1"/>
    <col min="5" max="5" width="6" style="30" customWidth="1"/>
    <col min="6" max="6" width="7.85546875" style="30" customWidth="1"/>
    <col min="7" max="8" width="8.140625" style="30" customWidth="1"/>
    <col min="9" max="9" width="2.7109375" style="30" customWidth="1"/>
    <col min="10" max="10" width="22.7109375" style="30" customWidth="1"/>
    <col min="11" max="11" width="6.85546875" style="30" customWidth="1"/>
    <col min="12" max="12" width="6.42578125" style="30" customWidth="1"/>
    <col min="13" max="13" width="6.7109375" style="30" customWidth="1"/>
    <col min="14" max="14" width="9.140625" style="30" customWidth="1"/>
    <col min="15" max="15" width="8.7109375" style="30" customWidth="1"/>
    <col min="16" max="16" width="6.7109375" style="30" customWidth="1"/>
    <col min="17" max="17" width="6.7109375" style="30" hidden="1" customWidth="1"/>
    <col min="18" max="18" width="40.7109375" style="30" hidden="1" customWidth="1"/>
    <col min="19" max="19" width="6.7109375" style="30" hidden="1" customWidth="1"/>
    <col min="20" max="20" width="8.42578125" style="30" hidden="1" customWidth="1"/>
    <col min="21" max="21" width="7.5703125" style="30" hidden="1" customWidth="1"/>
    <col min="22" max="22" width="13.42578125" style="30" hidden="1" customWidth="1"/>
    <col min="23" max="23" width="7.5703125" style="30" hidden="1" customWidth="1"/>
    <col min="24" max="24" width="9.140625" style="30" hidden="1" customWidth="1"/>
    <col min="25" max="25" width="9.7109375" style="30" hidden="1" customWidth="1"/>
    <col min="26" max="26" width="6.7109375" style="30" hidden="1" customWidth="1"/>
    <col min="27" max="27" width="4.7109375" style="30" hidden="1" customWidth="1"/>
    <col min="28" max="28" width="3" style="30" hidden="1" customWidth="1"/>
    <col min="29" max="30" width="6.42578125" style="30" hidden="1" customWidth="1"/>
    <col min="31" max="31" width="5" style="30" hidden="1" customWidth="1"/>
    <col min="32" max="33" width="9.7109375" style="30" hidden="1" customWidth="1"/>
    <col min="34" max="57" width="9.140625" style="30" hidden="1" customWidth="1"/>
    <col min="58" max="63" width="9.140625" style="30" customWidth="1"/>
    <col min="64" max="16384" width="9.140625" style="30"/>
  </cols>
  <sheetData>
    <row r="1" spans="1:55" ht="15.95" customHeight="1">
      <c r="E1" s="176" t="s">
        <v>84</v>
      </c>
      <c r="F1" s="176"/>
      <c r="G1" s="176"/>
      <c r="H1" s="176"/>
      <c r="I1" s="176"/>
      <c r="J1" s="176"/>
      <c r="K1" s="176"/>
      <c r="L1" s="176"/>
    </row>
    <row r="2" spans="1:55" ht="15.95" customHeight="1" thickBot="1">
      <c r="E2" s="176"/>
      <c r="F2" s="176"/>
      <c r="G2" s="176"/>
      <c r="H2" s="176"/>
      <c r="I2" s="176"/>
      <c r="J2" s="176"/>
      <c r="K2" s="176"/>
      <c r="L2" s="176"/>
    </row>
    <row r="3" spans="1:55" ht="15.95" customHeight="1" thickBot="1">
      <c r="E3" s="176"/>
      <c r="F3" s="176"/>
      <c r="G3" s="176"/>
      <c r="H3" s="176"/>
      <c r="I3" s="176"/>
      <c r="J3" s="176"/>
      <c r="K3" s="176"/>
      <c r="L3" s="176"/>
      <c r="Z3" s="154" t="s">
        <v>5</v>
      </c>
      <c r="AA3" s="155"/>
      <c r="AB3" s="155"/>
      <c r="AC3" s="155"/>
      <c r="AD3" s="155"/>
      <c r="AE3" s="156"/>
    </row>
    <row r="4" spans="1:55" ht="15.95" customHeight="1" thickBot="1">
      <c r="E4" s="176"/>
      <c r="F4" s="176"/>
      <c r="G4" s="176"/>
      <c r="H4" s="176"/>
      <c r="I4" s="176"/>
      <c r="J4" s="176"/>
      <c r="K4" s="176"/>
      <c r="L4" s="176"/>
      <c r="Y4" s="41" t="s">
        <v>4</v>
      </c>
      <c r="Z4" s="64" t="s">
        <v>6</v>
      </c>
      <c r="AA4" s="65" t="s">
        <v>7</v>
      </c>
      <c r="AB4" s="65" t="s">
        <v>8</v>
      </c>
      <c r="AC4" s="65" t="s">
        <v>9</v>
      </c>
      <c r="AD4" s="65" t="s">
        <v>10</v>
      </c>
      <c r="AE4" s="66" t="s">
        <v>11</v>
      </c>
      <c r="AF4" s="41" t="s">
        <v>4</v>
      </c>
      <c r="AG4" s="31"/>
      <c r="AH4" s="67"/>
      <c r="AI4" s="42"/>
      <c r="AJ4" s="42"/>
      <c r="AK4" s="42"/>
      <c r="AL4" s="42"/>
      <c r="AM4" s="68"/>
    </row>
    <row r="5" spans="1:55" ht="15.95" customHeight="1">
      <c r="V5" s="30" t="s">
        <v>41</v>
      </c>
      <c r="Y5" s="69">
        <v>0</v>
      </c>
      <c r="Z5" s="19">
        <v>0</v>
      </c>
      <c r="AA5" s="20">
        <v>0</v>
      </c>
      <c r="AB5" s="20">
        <v>0</v>
      </c>
      <c r="AC5" s="20">
        <v>0</v>
      </c>
      <c r="AD5" s="20">
        <v>0</v>
      </c>
      <c r="AE5" s="21">
        <v>0</v>
      </c>
      <c r="AF5" s="73">
        <v>0</v>
      </c>
      <c r="AG5" s="63"/>
    </row>
    <row r="6" spans="1:55" ht="15.95" customHeight="1">
      <c r="T6" s="30" t="s">
        <v>39</v>
      </c>
      <c r="U6" s="30" t="s">
        <v>40</v>
      </c>
      <c r="Y6" s="69">
        <v>5</v>
      </c>
      <c r="Z6" s="13">
        <v>5</v>
      </c>
      <c r="AA6" s="1">
        <v>3</v>
      </c>
      <c r="AB6" s="1">
        <v>3</v>
      </c>
      <c r="AC6" s="1">
        <v>2</v>
      </c>
      <c r="AD6" s="1">
        <v>1.5</v>
      </c>
      <c r="AE6" s="8">
        <v>1</v>
      </c>
      <c r="AF6" s="73">
        <v>5</v>
      </c>
      <c r="AG6" s="63"/>
    </row>
    <row r="7" spans="1:55" ht="15.95" customHeight="1">
      <c r="A7" s="157" t="s">
        <v>85</v>
      </c>
      <c r="B7" s="157"/>
      <c r="C7" s="157"/>
      <c r="D7" s="157"/>
      <c r="E7" s="157"/>
      <c r="F7" s="157"/>
      <c r="G7" s="157"/>
      <c r="H7" s="157"/>
      <c r="J7" s="146" t="s">
        <v>31</v>
      </c>
      <c r="K7" s="170"/>
      <c r="L7" s="62"/>
      <c r="M7" s="62"/>
      <c r="N7" s="62"/>
      <c r="O7" s="62"/>
      <c r="P7" s="62"/>
      <c r="Q7" s="62"/>
      <c r="R7" s="62"/>
      <c r="S7" s="62"/>
      <c r="T7" s="30">
        <f>IF(K11=M7,0,AI14)</f>
        <v>0</v>
      </c>
      <c r="U7" s="30">
        <f>ROUND(K7-U8,0)</f>
        <v>0</v>
      </c>
      <c r="V7" s="30" t="e">
        <f>ROUND(IF(T7=T8,AI9,AI9),0)</f>
        <v>#DIV/0!</v>
      </c>
      <c r="Y7" s="69">
        <v>10</v>
      </c>
      <c r="Z7" s="22">
        <v>10</v>
      </c>
      <c r="AA7" s="2">
        <v>7</v>
      </c>
      <c r="AB7" s="2">
        <v>6.5</v>
      </c>
      <c r="AC7" s="1">
        <v>4</v>
      </c>
      <c r="AD7" s="1">
        <v>3</v>
      </c>
      <c r="AE7" s="8">
        <v>2</v>
      </c>
      <c r="AF7" s="73">
        <v>10</v>
      </c>
      <c r="AG7" s="63"/>
    </row>
    <row r="8" spans="1:55" ht="15.95" customHeight="1">
      <c r="A8" s="157"/>
      <c r="B8" s="157"/>
      <c r="C8" s="157"/>
      <c r="D8" s="157"/>
      <c r="E8" s="157"/>
      <c r="F8" s="157"/>
      <c r="G8" s="157"/>
      <c r="H8" s="157"/>
      <c r="J8" s="147"/>
      <c r="K8" s="170"/>
      <c r="L8" s="62"/>
      <c r="M8" s="62"/>
      <c r="N8" s="62"/>
      <c r="O8" s="62"/>
      <c r="P8" s="62"/>
      <c r="Q8" s="62"/>
      <c r="R8" s="62"/>
      <c r="S8" s="62"/>
      <c r="T8" s="30">
        <f>IF(K11=O3,0,AI13)</f>
        <v>0</v>
      </c>
      <c r="U8" s="30">
        <f>ROUND(BB34,0)</f>
        <v>0</v>
      </c>
      <c r="V8" s="30">
        <f>IF(U8=0,0,ROUND(IF(T8=" "," ",AJ9),0))</f>
        <v>0</v>
      </c>
      <c r="Y8" s="69">
        <v>15</v>
      </c>
      <c r="Z8" s="14">
        <v>15</v>
      </c>
      <c r="AA8" s="3">
        <v>11</v>
      </c>
      <c r="AB8" s="3">
        <v>9</v>
      </c>
      <c r="AC8" s="2">
        <v>6</v>
      </c>
      <c r="AD8" s="1">
        <v>4</v>
      </c>
      <c r="AE8" s="8">
        <v>3</v>
      </c>
      <c r="AF8" s="73">
        <v>15</v>
      </c>
      <c r="AG8" s="63"/>
      <c r="AI8" s="30">
        <f>IF(T7=0,0,1)</f>
        <v>0</v>
      </c>
      <c r="AJ8" s="30">
        <f>IF(T8=0,0,1)</f>
        <v>0</v>
      </c>
      <c r="AL8" s="30">
        <f>AI8+AJ8+AK8</f>
        <v>0</v>
      </c>
      <c r="AM8" s="30">
        <v>2</v>
      </c>
    </row>
    <row r="9" spans="1:55" ht="15.95" customHeight="1">
      <c r="A9" s="157"/>
      <c r="B9" s="157"/>
      <c r="C9" s="157"/>
      <c r="D9" s="157"/>
      <c r="E9" s="157"/>
      <c r="F9" s="157"/>
      <c r="G9" s="157"/>
      <c r="H9" s="157"/>
      <c r="J9" s="146" t="s">
        <v>30</v>
      </c>
      <c r="K9" s="159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Y9" s="69">
        <v>20</v>
      </c>
      <c r="Z9" s="15">
        <v>20</v>
      </c>
      <c r="AA9" s="4">
        <v>14</v>
      </c>
      <c r="AB9" s="3">
        <v>12</v>
      </c>
      <c r="AC9" s="2">
        <v>7.5</v>
      </c>
      <c r="AD9" s="2">
        <v>5</v>
      </c>
      <c r="AE9" s="8">
        <v>4</v>
      </c>
      <c r="AF9" s="73">
        <v>20</v>
      </c>
      <c r="AG9" s="63"/>
      <c r="AI9" s="50" t="e">
        <f>AN44-(K11/AL8)*(AL8-1)</f>
        <v>#DIV/0!</v>
      </c>
      <c r="AJ9" s="50" t="e">
        <f>AI9+(K11/AL8)</f>
        <v>#DIV/0!</v>
      </c>
      <c r="AK9" s="50"/>
    </row>
    <row r="10" spans="1:55" ht="15.95" customHeight="1">
      <c r="A10" s="171" t="s">
        <v>60</v>
      </c>
      <c r="B10" s="171"/>
      <c r="C10" s="171"/>
      <c r="D10" s="171"/>
      <c r="E10" s="171"/>
      <c r="F10" s="171"/>
      <c r="G10" s="171"/>
      <c r="H10" s="171"/>
      <c r="J10" s="147"/>
      <c r="K10" s="160"/>
      <c r="L10" s="63"/>
      <c r="M10" s="63"/>
      <c r="N10" s="63"/>
      <c r="O10" s="63"/>
      <c r="P10" s="63"/>
      <c r="Q10" s="63"/>
      <c r="R10" s="63"/>
      <c r="S10" s="63"/>
      <c r="T10" s="62"/>
      <c r="U10" s="62"/>
      <c r="V10" s="62"/>
      <c r="W10" s="63"/>
      <c r="Y10" s="69">
        <v>25</v>
      </c>
      <c r="Z10" s="16"/>
      <c r="AA10" s="5">
        <v>19</v>
      </c>
      <c r="AB10" s="4">
        <v>15</v>
      </c>
      <c r="AC10" s="3">
        <v>9.5</v>
      </c>
      <c r="AD10" s="2">
        <v>7</v>
      </c>
      <c r="AE10" s="9">
        <v>5</v>
      </c>
      <c r="AF10" s="73">
        <v>25</v>
      </c>
      <c r="AG10" s="63"/>
    </row>
    <row r="11" spans="1:55" ht="15.95" customHeight="1">
      <c r="A11" s="171"/>
      <c r="B11" s="171"/>
      <c r="C11" s="171"/>
      <c r="D11" s="171"/>
      <c r="E11" s="171"/>
      <c r="F11" s="171"/>
      <c r="G11" s="171"/>
      <c r="H11" s="171"/>
      <c r="J11" s="146" t="s">
        <v>32</v>
      </c>
      <c r="K11" s="159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Y11" s="69">
        <v>30</v>
      </c>
      <c r="Z11" s="16"/>
      <c r="AA11" s="5">
        <v>23.5</v>
      </c>
      <c r="AB11" s="5">
        <v>19</v>
      </c>
      <c r="AC11" s="3">
        <v>11</v>
      </c>
      <c r="AD11" s="2">
        <v>8</v>
      </c>
      <c r="AE11" s="9">
        <v>6</v>
      </c>
      <c r="AF11" s="73">
        <v>30</v>
      </c>
      <c r="AG11" s="63"/>
    </row>
    <row r="12" spans="1:55" ht="15.95" customHeight="1">
      <c r="A12" s="171"/>
      <c r="B12" s="171"/>
      <c r="C12" s="171"/>
      <c r="D12" s="171"/>
      <c r="E12" s="171"/>
      <c r="F12" s="171"/>
      <c r="G12" s="171"/>
      <c r="H12" s="171"/>
      <c r="J12" s="147"/>
      <c r="K12" s="160"/>
      <c r="L12" s="62"/>
      <c r="M12" s="62"/>
      <c r="N12" s="62"/>
      <c r="O12" s="62"/>
      <c r="P12" s="62"/>
      <c r="Q12" s="62"/>
      <c r="R12" s="62"/>
      <c r="S12" s="62"/>
      <c r="T12" s="63"/>
      <c r="U12" s="63"/>
      <c r="V12" s="63"/>
      <c r="W12" s="62">
        <f>AN43</f>
        <v>0</v>
      </c>
      <c r="Y12" s="69">
        <v>35</v>
      </c>
      <c r="Z12" s="16"/>
      <c r="AA12" s="6"/>
      <c r="AB12" s="5">
        <v>25</v>
      </c>
      <c r="AC12" s="4">
        <v>13</v>
      </c>
      <c r="AD12" s="3">
        <v>9.5</v>
      </c>
      <c r="AE12" s="9">
        <v>7</v>
      </c>
      <c r="AF12" s="73">
        <v>35</v>
      </c>
      <c r="AG12" s="63"/>
      <c r="AI12" s="30">
        <f>IF(AI14=AE4,AB4,0)</f>
        <v>0</v>
      </c>
    </row>
    <row r="13" spans="1:55" ht="15.95" customHeight="1">
      <c r="A13" s="171" t="s">
        <v>80</v>
      </c>
      <c r="B13" s="171"/>
      <c r="C13" s="171"/>
      <c r="D13" s="171"/>
      <c r="E13" s="171"/>
      <c r="F13" s="171"/>
      <c r="G13" s="171"/>
      <c r="H13" s="171"/>
      <c r="J13" s="146" t="s">
        <v>33</v>
      </c>
      <c r="K13" s="159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Y13" s="69">
        <v>40</v>
      </c>
      <c r="Z13" s="16"/>
      <c r="AA13" s="6"/>
      <c r="AB13" s="6"/>
      <c r="AC13" s="4">
        <v>15</v>
      </c>
      <c r="AD13" s="3">
        <v>11</v>
      </c>
      <c r="AE13" s="9">
        <v>8</v>
      </c>
      <c r="AF13" s="73">
        <v>40</v>
      </c>
      <c r="AG13" s="63"/>
      <c r="AI13" s="30">
        <f>IF(AI16="BPN",AB4,AI12)</f>
        <v>0</v>
      </c>
    </row>
    <row r="14" spans="1:55" ht="15.95" customHeight="1">
      <c r="A14" s="171"/>
      <c r="B14" s="171"/>
      <c r="C14" s="171"/>
      <c r="D14" s="171"/>
      <c r="E14" s="171"/>
      <c r="F14" s="171"/>
      <c r="G14" s="171"/>
      <c r="H14" s="171"/>
      <c r="J14" s="147"/>
      <c r="K14" s="160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 t="e">
        <f>IF(O28&lt;10,1,0)</f>
        <v>#DIV/0!</v>
      </c>
      <c r="Y14" s="69">
        <v>45</v>
      </c>
      <c r="Z14" s="16"/>
      <c r="AA14" s="6"/>
      <c r="AB14" s="6"/>
      <c r="AC14" s="5">
        <v>17</v>
      </c>
      <c r="AD14" s="4">
        <v>12.5</v>
      </c>
      <c r="AE14" s="10">
        <v>9</v>
      </c>
      <c r="AF14" s="73">
        <v>45</v>
      </c>
      <c r="AG14" s="63"/>
      <c r="AI14" s="30" t="str">
        <f>IF(AI16="BPN",AE4,AI16)</f>
        <v>1/2"</v>
      </c>
    </row>
    <row r="15" spans="1:55" ht="15.95" customHeight="1">
      <c r="A15" s="171"/>
      <c r="B15" s="171"/>
      <c r="C15" s="171"/>
      <c r="D15" s="171"/>
      <c r="E15" s="171"/>
      <c r="F15" s="171"/>
      <c r="G15" s="171"/>
      <c r="H15" s="171"/>
      <c r="J15" s="146" t="s">
        <v>34</v>
      </c>
      <c r="K15" s="159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Y15" s="69">
        <v>50</v>
      </c>
      <c r="Z15" s="16"/>
      <c r="AA15" s="6"/>
      <c r="AB15" s="6"/>
      <c r="AC15" s="5">
        <v>19</v>
      </c>
      <c r="AD15" s="4">
        <v>13.5</v>
      </c>
      <c r="AE15" s="10">
        <v>10</v>
      </c>
      <c r="AF15" s="73">
        <v>50</v>
      </c>
      <c r="AG15" s="63"/>
    </row>
    <row r="16" spans="1:55" ht="15.95" customHeight="1">
      <c r="A16" s="142" t="s">
        <v>57</v>
      </c>
      <c r="B16" s="142"/>
      <c r="C16" s="142"/>
      <c r="D16" s="142"/>
      <c r="E16" s="142"/>
      <c r="F16" s="142"/>
      <c r="G16" s="142"/>
      <c r="H16" s="142"/>
      <c r="J16" s="147"/>
      <c r="K16" s="160"/>
      <c r="L16" s="63"/>
      <c r="M16" s="63"/>
      <c r="N16" s="63"/>
      <c r="O16" s="63"/>
      <c r="P16" s="63"/>
      <c r="Q16" s="63"/>
      <c r="R16" s="63"/>
      <c r="S16" s="63"/>
      <c r="W16" s="63" t="e">
        <f>W12+W14</f>
        <v>#DIV/0!</v>
      </c>
      <c r="Y16" s="69">
        <v>55</v>
      </c>
      <c r="Z16" s="16"/>
      <c r="AA16" s="6"/>
      <c r="AB16" s="6"/>
      <c r="AC16" s="5">
        <v>23</v>
      </c>
      <c r="AD16" s="4">
        <v>15</v>
      </c>
      <c r="AE16" s="10">
        <v>11</v>
      </c>
      <c r="AF16" s="73">
        <v>55</v>
      </c>
      <c r="AG16" s="63"/>
      <c r="AI16" s="30" t="str">
        <f>IF(AI17&gt;=K7,AI18,AJ16)</f>
        <v>1/2"</v>
      </c>
      <c r="AJ16" s="30" t="str">
        <f>IF(AJ17&gt;=K7,AJ18,AK16)</f>
        <v>BPN</v>
      </c>
      <c r="AK16" s="30" t="str">
        <f>IF(AK17&gt;=K7,AK18,AL16)</f>
        <v>BPN</v>
      </c>
      <c r="AL16" s="30" t="str">
        <f>IF(AL17&gt;=K7,AL18,AM16)</f>
        <v>BPN</v>
      </c>
      <c r="AM16" s="30" t="str">
        <f>IF(AM17&gt;=K7,AM19,AN16)</f>
        <v>BPN</v>
      </c>
      <c r="AN16" s="30" t="str">
        <f>IF(AN17&gt;=K7,AN18,AO16)</f>
        <v>BPN</v>
      </c>
      <c r="AO16" s="30" t="str">
        <f>IF(AO17&gt;=K7,AO19,AP16)</f>
        <v>BPN</v>
      </c>
      <c r="AP16" s="30" t="str">
        <f>IF(AP17&gt;=K7,AP19,AQ16)</f>
        <v>BPN</v>
      </c>
      <c r="AQ16" s="30" t="str">
        <f>IF(AQ17&gt;=K7,AQ18,AR16)</f>
        <v>BPN</v>
      </c>
      <c r="AR16" s="30" t="str">
        <f>IF(AR17&gt;=K7,AR18,AS16)</f>
        <v>BPN</v>
      </c>
      <c r="AS16" s="30" t="str">
        <f>IF(AS17&gt;=K7,AS18,AT16)</f>
        <v>BPN</v>
      </c>
      <c r="AT16" s="30" t="str">
        <f>IF(AT17&gt;=K7,AT18,AU16)</f>
        <v>BPN</v>
      </c>
      <c r="AU16" s="30" t="str">
        <f>IF(AU17&gt;=K7,AU18,AV16)</f>
        <v>BPN</v>
      </c>
      <c r="AV16" s="30" t="str">
        <f>IF(AV17&gt;=K7,AV18,AW16)</f>
        <v>BPN</v>
      </c>
      <c r="AW16" s="30" t="str">
        <f>IF(AW17&gt;=K7,AW18,AX16)</f>
        <v>BPN</v>
      </c>
      <c r="AX16" s="30" t="str">
        <f>IF(AX17&gt;=K7,AX18,AY16)</f>
        <v>BPN</v>
      </c>
      <c r="AY16" s="30" t="str">
        <f>IF(AY17&gt;=K7,AZ18,AZ16)</f>
        <v>BPN</v>
      </c>
      <c r="AZ16" s="30" t="str">
        <f>IF(AZ17&gt;=K7,AZ18,BA16)</f>
        <v>BPN</v>
      </c>
      <c r="BA16" s="30" t="str">
        <f>IF(BA17&gt;=K7,BA18,BB16)</f>
        <v>BPN</v>
      </c>
      <c r="BB16" s="30" t="str">
        <f>IF(BB17&gt;=K7,BB18,BC16)</f>
        <v>BPN</v>
      </c>
      <c r="BC16" s="30" t="str">
        <f>IF(BC17&gt;=K7,BC18,BD16)</f>
        <v>BPN</v>
      </c>
    </row>
    <row r="17" spans="1:55" ht="15.95" customHeight="1">
      <c r="A17" s="171" t="s">
        <v>61</v>
      </c>
      <c r="B17" s="171"/>
      <c r="C17" s="171"/>
      <c r="D17" s="171"/>
      <c r="E17" s="171"/>
      <c r="F17" s="171"/>
      <c r="G17" s="171"/>
      <c r="H17" s="171"/>
      <c r="J17" s="148" t="s">
        <v>75</v>
      </c>
      <c r="K17" s="150" t="e">
        <f>U19</f>
        <v>#DIV/0!</v>
      </c>
      <c r="L17" s="150"/>
      <c r="Y17" s="69">
        <v>60</v>
      </c>
      <c r="Z17" s="16"/>
      <c r="AA17" s="6"/>
      <c r="AB17" s="6"/>
      <c r="AC17" s="6"/>
      <c r="AD17" s="5">
        <v>16.5</v>
      </c>
      <c r="AE17" s="10">
        <v>12</v>
      </c>
      <c r="AF17" s="73">
        <v>60</v>
      </c>
      <c r="AG17" s="63"/>
      <c r="AI17" s="30">
        <v>0</v>
      </c>
      <c r="AJ17" s="30">
        <v>5</v>
      </c>
      <c r="AK17" s="30">
        <v>10</v>
      </c>
      <c r="AL17" s="30">
        <v>15</v>
      </c>
      <c r="AM17" s="30">
        <v>20</v>
      </c>
      <c r="AN17" s="30">
        <v>25</v>
      </c>
      <c r="AO17" s="30">
        <v>30</v>
      </c>
      <c r="AP17" s="30">
        <v>35</v>
      </c>
      <c r="AQ17" s="30">
        <v>40</v>
      </c>
      <c r="AR17" s="30">
        <v>45</v>
      </c>
      <c r="AS17" s="30">
        <v>50</v>
      </c>
      <c r="AT17" s="30">
        <v>55</v>
      </c>
      <c r="AU17" s="30">
        <v>60</v>
      </c>
      <c r="AV17" s="30">
        <v>65</v>
      </c>
      <c r="AW17" s="30">
        <v>70</v>
      </c>
      <c r="AX17" s="30">
        <v>75</v>
      </c>
      <c r="AY17" s="30">
        <v>80</v>
      </c>
      <c r="AZ17" s="30">
        <v>85</v>
      </c>
      <c r="BA17" s="30">
        <v>90</v>
      </c>
      <c r="BB17" s="30">
        <v>95</v>
      </c>
      <c r="BC17" s="30">
        <v>100</v>
      </c>
    </row>
    <row r="18" spans="1:55" ht="15.95" customHeight="1">
      <c r="A18" s="171"/>
      <c r="B18" s="171"/>
      <c r="C18" s="171"/>
      <c r="D18" s="171"/>
      <c r="E18" s="171"/>
      <c r="F18" s="171"/>
      <c r="G18" s="171"/>
      <c r="H18" s="171"/>
      <c r="J18" s="149"/>
      <c r="K18" s="150"/>
      <c r="L18" s="150"/>
      <c r="Y18" s="69">
        <v>65</v>
      </c>
      <c r="Z18" s="16"/>
      <c r="AA18" s="6"/>
      <c r="AB18" s="6"/>
      <c r="AC18" s="6"/>
      <c r="AD18" s="5">
        <v>18</v>
      </c>
      <c r="AE18" s="11">
        <v>13</v>
      </c>
      <c r="AF18" s="73">
        <v>65</v>
      </c>
      <c r="AG18" s="63"/>
      <c r="AI18" s="30" t="str">
        <f>IF(Z5&lt;=K11,Z4,AI19)</f>
        <v>1/2"</v>
      </c>
      <c r="AJ18" s="30" t="str">
        <f>IF(Z6&lt;=K11,Z4,AJ19)</f>
        <v>BPN</v>
      </c>
      <c r="AK18" s="30" t="str">
        <f>IF(Z7&lt;=K11,Z4,AK19)</f>
        <v>BPN</v>
      </c>
      <c r="AL18" s="30" t="str">
        <f>IF(Z8&lt;=K11,Z4,AL19)</f>
        <v>BPN</v>
      </c>
      <c r="AM18" s="30" t="str">
        <f>IF(Z9&lt;=K10,Z4,AM19)</f>
        <v>BPN</v>
      </c>
      <c r="AN18" s="30" t="str">
        <f>IF(AA10&lt;=K11,AA4,AN19)</f>
        <v>BPN</v>
      </c>
      <c r="AO18" s="30" t="str">
        <f>IF(AA11&lt;=K10,AA4,AO19)</f>
        <v>BPN</v>
      </c>
      <c r="AP18" s="30" t="str">
        <f>IF(AB12&lt;=K10,AB4,AP19)</f>
        <v>BPN</v>
      </c>
      <c r="AQ18" s="30" t="str">
        <f>IF(AC13&lt;=K11,AC4,AQ19)</f>
        <v>BPN</v>
      </c>
      <c r="AR18" s="30" t="str">
        <f>IF(AC14&lt;=K11,AC4,AR19)</f>
        <v>BPN</v>
      </c>
      <c r="AS18" s="30" t="str">
        <f>IF(AC15&lt;=K11,AC4,AS19)</f>
        <v>BPN</v>
      </c>
      <c r="AT18" s="30" t="str">
        <f>IF(AC16&lt;=K11,AC4,AT19)</f>
        <v>BPN</v>
      </c>
      <c r="AU18" s="30" t="str">
        <f>IF(AD17&lt;=K11,AD4,AU19)</f>
        <v>BPN</v>
      </c>
      <c r="AV18" s="30" t="str">
        <f>IF(AD18&lt;=K11,AD4,AV19)</f>
        <v>BPN</v>
      </c>
      <c r="AW18" s="30" t="str">
        <f>IF(AD19&lt;=K11,AD4,AW19)</f>
        <v>BPN</v>
      </c>
      <c r="AX18" s="30" t="str">
        <f>IF(AE20&lt;=K11,AE4,"BPN")</f>
        <v>BPN</v>
      </c>
      <c r="AY18" s="30" t="str">
        <f>IF(AE21&lt;=K11,AE4,"BPN")</f>
        <v>BPN</v>
      </c>
      <c r="AZ18" s="30" t="str">
        <f>IF(AE22&lt;=K11,AE4,"BPN")</f>
        <v>BPN</v>
      </c>
      <c r="BA18" s="30" t="str">
        <f>IF(AE23&lt;=K11,AE4,"BPN")</f>
        <v>BPN</v>
      </c>
      <c r="BB18" s="30" t="str">
        <f>IF(AE24&lt;=K11,AE4,"BPN")</f>
        <v>BPN</v>
      </c>
      <c r="BC18" s="30" t="str">
        <f>IF(AE25&lt;=K11,AE4,"BPN")</f>
        <v>BPN</v>
      </c>
    </row>
    <row r="19" spans="1:55" ht="15.95" customHeight="1">
      <c r="A19" s="167" t="s">
        <v>62</v>
      </c>
      <c r="B19" s="167"/>
      <c r="C19" s="167"/>
      <c r="D19" s="167"/>
      <c r="E19" s="167"/>
      <c r="F19" s="167"/>
      <c r="G19" s="167"/>
      <c r="H19" s="167"/>
      <c r="J19" s="144" t="s">
        <v>89</v>
      </c>
      <c r="K19" s="145" t="s">
        <v>39</v>
      </c>
      <c r="L19" s="145"/>
      <c r="M19" s="161" t="s">
        <v>40</v>
      </c>
      <c r="N19" s="161"/>
      <c r="O19" s="162" t="s">
        <v>58</v>
      </c>
      <c r="P19" s="162"/>
      <c r="S19" s="57" t="e">
        <f>IF(O22&gt;=10,1,0)</f>
        <v>#DIV/0!</v>
      </c>
      <c r="T19" s="30">
        <v>1</v>
      </c>
      <c r="U19" s="30" t="e">
        <f>IF(S29=T19,W19,U20)</f>
        <v>#DIV/0!</v>
      </c>
      <c r="W19" s="55" t="s">
        <v>66</v>
      </c>
      <c r="Y19" s="69">
        <v>70</v>
      </c>
      <c r="Z19" s="16"/>
      <c r="AA19" s="6"/>
      <c r="AB19" s="6"/>
      <c r="AC19" s="6"/>
      <c r="AD19" s="5">
        <v>20</v>
      </c>
      <c r="AE19" s="11">
        <v>14</v>
      </c>
      <c r="AF19" s="73">
        <v>70</v>
      </c>
      <c r="AG19" s="63"/>
      <c r="AI19" s="30" t="str">
        <f>IF(AA5&lt;=K11,AA4,AI20)</f>
        <v>3/4"</v>
      </c>
      <c r="AJ19" s="30" t="str">
        <f>IF(AA6&lt;=K11,AA4,AJ20)</f>
        <v>BPN</v>
      </c>
      <c r="AK19" s="30" t="str">
        <f>IF(AA7&lt;=K11,AA4,AK20)</f>
        <v>BPN</v>
      </c>
      <c r="AL19" s="30" t="str">
        <f>IF(AA8&lt;=K11,AA4,AL20)</f>
        <v>BPN</v>
      </c>
      <c r="AM19" s="30" t="str">
        <f>IF(AA9&lt;=K11,AA4,AM20)</f>
        <v>BPN</v>
      </c>
      <c r="AN19" s="30" t="str">
        <f>IF(AB10&lt;=K11,AB4,AN20)</f>
        <v>BPN</v>
      </c>
      <c r="AO19" s="30" t="str">
        <f>IF(AB11&lt;=K11,AB4,AO20)</f>
        <v>BPN</v>
      </c>
      <c r="AP19" s="30" t="str">
        <f>IF(AC12&lt;=K11,AC4,AP20)</f>
        <v>BPN</v>
      </c>
      <c r="AQ19" s="30" t="str">
        <f>IF(AD13&lt;=K11,AD4,AQ20)</f>
        <v>BPN</v>
      </c>
      <c r="AR19" s="30" t="str">
        <f>IF(AD14&lt;=K11,AD4,AR20)</f>
        <v>BPN</v>
      </c>
      <c r="AS19" s="30" t="str">
        <f>IF(AD15&lt;=K11,AD4,AS20)</f>
        <v>BPN</v>
      </c>
      <c r="AT19" s="30" t="str">
        <f>IF(AD16&lt;=K11,AD4,AT20)</f>
        <v>BPN</v>
      </c>
      <c r="AU19" s="30" t="str">
        <f>IF(AE17&lt;=K11,AE4,"BPN")</f>
        <v>BPN</v>
      </c>
      <c r="AV19" s="30" t="str">
        <f>IF(AE18&lt;=K11,AE4,"BPN")</f>
        <v>BPN</v>
      </c>
      <c r="AW19" s="30" t="str">
        <f>IF(AE19&lt;=K11,AE4,"BPN")</f>
        <v>BPN</v>
      </c>
    </row>
    <row r="20" spans="1:55" ht="15.95" customHeight="1">
      <c r="A20" s="167"/>
      <c r="B20" s="167"/>
      <c r="C20" s="167"/>
      <c r="D20" s="167"/>
      <c r="E20" s="167"/>
      <c r="F20" s="167"/>
      <c r="G20" s="167"/>
      <c r="H20" s="167"/>
      <c r="J20" s="144"/>
      <c r="K20" s="145"/>
      <c r="L20" s="145"/>
      <c r="M20" s="161"/>
      <c r="N20" s="161"/>
      <c r="O20" s="162"/>
      <c r="P20" s="162"/>
      <c r="S20" s="57">
        <f>IF(O23&gt;10,4,0)</f>
        <v>0</v>
      </c>
      <c r="T20" s="30">
        <v>2</v>
      </c>
      <c r="U20" s="30" t="e">
        <f>IF(S29=T20,W20,U21)</f>
        <v>#DIV/0!</v>
      </c>
      <c r="W20" s="58" t="s">
        <v>67</v>
      </c>
      <c r="Y20" s="69">
        <v>75</v>
      </c>
      <c r="Z20" s="16"/>
      <c r="AA20" s="6"/>
      <c r="AB20" s="6"/>
      <c r="AC20" s="6"/>
      <c r="AD20" s="6"/>
      <c r="AE20" s="11">
        <v>15</v>
      </c>
      <c r="AF20" s="73">
        <v>75</v>
      </c>
      <c r="AG20" s="63"/>
      <c r="AI20" s="30" t="str">
        <f>IF(AB5&lt;=K11,AB4,AI21)</f>
        <v>1"</v>
      </c>
      <c r="AJ20" s="30" t="str">
        <f>IF(AB6&lt;=K11,AB4,AJ21)</f>
        <v>BPN</v>
      </c>
      <c r="AK20" s="30" t="str">
        <f>IF(AB7&lt;=K11,AB4,AK21)</f>
        <v>BPN</v>
      </c>
      <c r="AL20" s="30" t="str">
        <f>IF(AB8&lt;=K11,AB4,AL21)</f>
        <v>BPN</v>
      </c>
      <c r="AM20" s="30" t="str">
        <f>IF(AB9&lt;=K11,AB4,AM21)</f>
        <v>BPN</v>
      </c>
      <c r="AN20" s="30" t="str">
        <f>IF(AC10&lt;=K11,AC4,AN21)</f>
        <v>BPN</v>
      </c>
      <c r="AO20" s="30" t="str">
        <f>IF(AC11&lt;=K11,AC4,AO21)</f>
        <v>BPN</v>
      </c>
      <c r="AP20" s="30" t="str">
        <f>IF(AD12&lt;=K11,AD4,AP21)</f>
        <v>BPN</v>
      </c>
      <c r="AQ20" s="30" t="str">
        <f>IF(AE13&lt;=K11,AE4,"BPN")</f>
        <v>BPN</v>
      </c>
      <c r="AR20" s="30" t="str">
        <f>IF(AE14&lt;=K11,AE4,"BPN")</f>
        <v>BPN</v>
      </c>
      <c r="AS20" s="30" t="str">
        <f>IF(AE15&lt;=K11,AE4,"BPN")</f>
        <v>BPN</v>
      </c>
      <c r="AT20" s="30" t="str">
        <f>IF(AE16&lt;=K11,AE4,"BPN")</f>
        <v>BPN</v>
      </c>
    </row>
    <row r="21" spans="1:55" ht="15.95" customHeight="1">
      <c r="A21" s="141" t="s">
        <v>76</v>
      </c>
      <c r="B21" s="141"/>
      <c r="C21" s="141"/>
      <c r="D21" s="141"/>
      <c r="E21" s="141"/>
      <c r="F21" s="141"/>
      <c r="G21" s="141"/>
      <c r="H21" s="141"/>
      <c r="J21" s="169" t="s">
        <v>86</v>
      </c>
      <c r="K21" s="169"/>
      <c r="L21" s="169"/>
      <c r="M21" s="169"/>
      <c r="N21" s="169"/>
      <c r="O21" s="169"/>
      <c r="P21" s="169"/>
      <c r="S21" s="57"/>
      <c r="T21" s="30">
        <v>3</v>
      </c>
      <c r="U21" s="30" t="e">
        <f>IF(S29=T21,W21,U22)</f>
        <v>#DIV/0!</v>
      </c>
      <c r="W21" s="58" t="s">
        <v>68</v>
      </c>
      <c r="Y21" s="69">
        <v>80</v>
      </c>
      <c r="Z21" s="16"/>
      <c r="AA21" s="6"/>
      <c r="AB21" s="6"/>
      <c r="AC21" s="6"/>
      <c r="AD21" s="6"/>
      <c r="AE21" s="12">
        <v>16</v>
      </c>
      <c r="AF21" s="73">
        <v>80</v>
      </c>
      <c r="AG21" s="63"/>
      <c r="AI21" s="30" t="str">
        <f>IF(AC5&lt;=K11,AC4,AI22)</f>
        <v>1-1/4"</v>
      </c>
      <c r="AJ21" s="30" t="str">
        <f>IF(AC6&lt;=K11,AC4,AJ22)</f>
        <v>BPN</v>
      </c>
      <c r="AK21" s="30" t="str">
        <f>IF(AC7&lt;=K11,AC4,AK22)</f>
        <v>BPN</v>
      </c>
      <c r="AL21" s="30" t="str">
        <f>IF(AC8&lt;=K11,AC4,AL22)</f>
        <v>BPN</v>
      </c>
      <c r="AM21" s="30" t="str">
        <f>IF(AC9&lt;=K11,AC4,AM22)</f>
        <v>BPN</v>
      </c>
      <c r="AN21" s="30" t="str">
        <f>IF(AD10&lt;=K11,AD4,AN22)</f>
        <v>BPN</v>
      </c>
      <c r="AO21" s="30" t="str">
        <f>IF(AD11&lt;=K11,AD4,AO22)</f>
        <v>BPN</v>
      </c>
      <c r="AP21" s="30" t="str">
        <f>IF(AE12&lt;=K11,AE4,"BPN")</f>
        <v>BPN</v>
      </c>
    </row>
    <row r="22" spans="1:55" ht="15.95" customHeight="1">
      <c r="A22" s="141"/>
      <c r="B22" s="141"/>
      <c r="C22" s="141"/>
      <c r="D22" s="141"/>
      <c r="E22" s="141"/>
      <c r="F22" s="141"/>
      <c r="G22" s="141"/>
      <c r="H22" s="141"/>
      <c r="J22" s="29" t="s">
        <v>92</v>
      </c>
      <c r="K22" s="27">
        <f>T7</f>
        <v>0</v>
      </c>
      <c r="L22" s="25" t="s">
        <v>54</v>
      </c>
      <c r="M22" s="26">
        <f>U7</f>
        <v>0</v>
      </c>
      <c r="N22" s="25" t="s">
        <v>53</v>
      </c>
      <c r="O22" s="28" t="e">
        <f>V7</f>
        <v>#DIV/0!</v>
      </c>
      <c r="P22" s="25" t="s">
        <v>51</v>
      </c>
      <c r="Q22" s="62"/>
      <c r="R22" s="62"/>
      <c r="S22" s="57"/>
      <c r="T22" s="30">
        <v>5</v>
      </c>
      <c r="U22" s="30" t="e">
        <f>IF(S29=T22,W22,U23)</f>
        <v>#DIV/0!</v>
      </c>
      <c r="W22" s="58" t="s">
        <v>69</v>
      </c>
      <c r="Y22" s="69">
        <v>85</v>
      </c>
      <c r="Z22" s="16"/>
      <c r="AA22" s="6"/>
      <c r="AB22" s="6"/>
      <c r="AC22" s="6"/>
      <c r="AD22" s="6"/>
      <c r="AE22" s="12">
        <v>17</v>
      </c>
      <c r="AF22" s="73">
        <v>85</v>
      </c>
      <c r="AG22" s="63"/>
      <c r="AI22" s="30" t="str">
        <f>IF(AD5&lt;=K11,AD4,AI23)</f>
        <v>1-1/2"</v>
      </c>
      <c r="AJ22" s="30" t="str">
        <f>IF(AD6&lt;=K11,AD4,AJ23)</f>
        <v>BPN</v>
      </c>
      <c r="AK22" s="30" t="str">
        <f>IF(AD7&lt;=K11,AD4,AK23)</f>
        <v>BPN</v>
      </c>
      <c r="AL22" s="30" t="str">
        <f>IF(AD8&lt;=K11,AD4,AL23)</f>
        <v>BPN</v>
      </c>
      <c r="AM22" s="30" t="str">
        <f>IF(AD9&lt;=K11,AD4,AM23)</f>
        <v>BPN</v>
      </c>
      <c r="AN22" s="30" t="str">
        <f>IF(AE10&lt;=K11,AE4,"BPN")</f>
        <v>BPN</v>
      </c>
      <c r="AO22" s="30" t="str">
        <f>IF(AE11&lt;=K11,AE4,"BPN")</f>
        <v>BPN</v>
      </c>
    </row>
    <row r="23" spans="1:55" ht="15.95" customHeight="1">
      <c r="A23" s="168" t="s">
        <v>109</v>
      </c>
      <c r="B23" s="168"/>
      <c r="C23" s="168"/>
      <c r="D23" s="168"/>
      <c r="E23" s="168"/>
      <c r="F23" s="168"/>
      <c r="G23" s="168"/>
      <c r="H23" s="168"/>
      <c r="J23" s="29" t="s">
        <v>94</v>
      </c>
      <c r="K23" s="27">
        <f>T8</f>
        <v>0</v>
      </c>
      <c r="L23" s="25" t="s">
        <v>54</v>
      </c>
      <c r="M23" s="26">
        <f>U8</f>
        <v>0</v>
      </c>
      <c r="N23" s="25" t="s">
        <v>53</v>
      </c>
      <c r="O23" s="28">
        <f>V8</f>
        <v>0</v>
      </c>
      <c r="P23" s="25" t="s">
        <v>51</v>
      </c>
      <c r="Q23" s="62"/>
      <c r="R23" s="62"/>
      <c r="S23" s="57" t="e">
        <f>IF(O25&gt;=10,1,0)</f>
        <v>#DIV/0!</v>
      </c>
      <c r="T23" s="30">
        <v>10</v>
      </c>
      <c r="U23" s="30" t="e">
        <f>IF(S29=T23,W23,U24)</f>
        <v>#DIV/0!</v>
      </c>
      <c r="W23" s="58" t="s">
        <v>70</v>
      </c>
      <c r="Y23" s="69">
        <v>90</v>
      </c>
      <c r="Z23" s="16"/>
      <c r="AA23" s="6"/>
      <c r="AB23" s="6"/>
      <c r="AC23" s="6"/>
      <c r="AD23" s="6"/>
      <c r="AE23" s="12">
        <v>18</v>
      </c>
      <c r="AF23" s="73">
        <v>90</v>
      </c>
      <c r="AG23" s="63"/>
      <c r="AI23" s="30" t="str">
        <f>IF(AE5&lt;=K11,AE4,"BPN")</f>
        <v>2"</v>
      </c>
      <c r="AJ23" s="30" t="str">
        <f>IF(AE6&lt;=K11,AE4,"BPN")</f>
        <v>BPN</v>
      </c>
      <c r="AK23" s="30" t="str">
        <f>IF(AE7&lt;=K11,AE4,"BPN")</f>
        <v>BPN</v>
      </c>
      <c r="AL23" s="30" t="str">
        <f>IF(AE8&lt;=K11,AE4,"BPN")</f>
        <v>BPN</v>
      </c>
      <c r="AM23" s="30" t="str">
        <f>IF(AE9&lt;=K11,AE4,"BPN")</f>
        <v>BPN</v>
      </c>
    </row>
    <row r="24" spans="1:55" ht="15.95" customHeight="1">
      <c r="A24" s="168"/>
      <c r="B24" s="168"/>
      <c r="C24" s="168"/>
      <c r="D24" s="168"/>
      <c r="E24" s="168"/>
      <c r="F24" s="168"/>
      <c r="G24" s="168"/>
      <c r="H24" s="168"/>
      <c r="J24" s="169" t="s">
        <v>87</v>
      </c>
      <c r="K24" s="169"/>
      <c r="L24" s="169"/>
      <c r="M24" s="169"/>
      <c r="N24" s="169"/>
      <c r="O24" s="169"/>
      <c r="P24" s="169"/>
      <c r="Q24" s="62"/>
      <c r="R24" s="62"/>
      <c r="S24" s="57">
        <f>IF(O26&gt;10,4,0)</f>
        <v>0</v>
      </c>
      <c r="T24" s="30">
        <v>11</v>
      </c>
      <c r="U24" s="30" t="e">
        <f>IF(S29=T24,W24,U25)</f>
        <v>#DIV/0!</v>
      </c>
      <c r="W24" s="58" t="s">
        <v>71</v>
      </c>
      <c r="Y24" s="69">
        <v>95</v>
      </c>
      <c r="Z24" s="16"/>
      <c r="AA24" s="6"/>
      <c r="AB24" s="6"/>
      <c r="AC24" s="6"/>
      <c r="AD24" s="6"/>
      <c r="AE24" s="12">
        <v>19</v>
      </c>
      <c r="AF24" s="73">
        <v>95</v>
      </c>
      <c r="AG24" s="63"/>
    </row>
    <row r="25" spans="1:55" ht="15.95" customHeight="1" thickBot="1">
      <c r="J25" s="29" t="s">
        <v>93</v>
      </c>
      <c r="K25" s="27">
        <f>K22</f>
        <v>0</v>
      </c>
      <c r="L25" s="25" t="s">
        <v>54</v>
      </c>
      <c r="M25" s="26">
        <f>M22</f>
        <v>0</v>
      </c>
      <c r="N25" s="25" t="s">
        <v>53</v>
      </c>
      <c r="O25" s="28" t="e">
        <f>ROUND(AN45-(K11/AL8)*(AL8-1),0)</f>
        <v>#DIV/0!</v>
      </c>
      <c r="P25" s="25" t="s">
        <v>51</v>
      </c>
      <c r="Q25" s="76"/>
      <c r="R25" s="76"/>
      <c r="S25" s="57"/>
      <c r="T25" s="30">
        <v>15</v>
      </c>
      <c r="U25" s="30" t="e">
        <f>IF(S29=T25,W25,U26)</f>
        <v>#DIV/0!</v>
      </c>
      <c r="W25" s="58" t="s">
        <v>72</v>
      </c>
      <c r="Y25" s="77">
        <v>100</v>
      </c>
      <c r="Z25" s="17"/>
      <c r="AA25" s="7"/>
      <c r="AB25" s="7"/>
      <c r="AC25" s="7"/>
      <c r="AD25" s="7"/>
      <c r="AE25" s="18">
        <v>20</v>
      </c>
      <c r="AF25" s="80">
        <v>100</v>
      </c>
      <c r="AG25" s="63"/>
    </row>
    <row r="26" spans="1:55" ht="15.95" customHeight="1">
      <c r="B26" s="172" t="s">
        <v>63</v>
      </c>
      <c r="C26" s="173"/>
      <c r="D26" s="174"/>
      <c r="E26" s="56">
        <v>300</v>
      </c>
      <c r="F26" s="56" t="s">
        <v>51</v>
      </c>
      <c r="J26" s="29" t="s">
        <v>95</v>
      </c>
      <c r="K26" s="27">
        <f>K23</f>
        <v>0</v>
      </c>
      <c r="L26" s="25" t="s">
        <v>54</v>
      </c>
      <c r="M26" s="26">
        <f>M23</f>
        <v>0</v>
      </c>
      <c r="N26" s="25" t="s">
        <v>53</v>
      </c>
      <c r="O26" s="28">
        <f>IF(M26=0,0,ROUND(O25+K11/AL8,0))</f>
        <v>0</v>
      </c>
      <c r="P26" s="25" t="s">
        <v>51</v>
      </c>
      <c r="Q26" s="62"/>
      <c r="R26" s="62"/>
      <c r="S26" s="57"/>
      <c r="T26" s="30">
        <v>22</v>
      </c>
      <c r="U26" s="30">
        <f>IF(T17=T26,W26,U27)</f>
        <v>0</v>
      </c>
      <c r="W26" s="58" t="s">
        <v>73</v>
      </c>
    </row>
    <row r="27" spans="1:55" ht="15.95" customHeight="1">
      <c r="B27" s="164" t="s">
        <v>2</v>
      </c>
      <c r="C27" s="164"/>
      <c r="D27" s="164"/>
      <c r="E27" s="56">
        <v>140</v>
      </c>
      <c r="F27" s="56" t="s">
        <v>52</v>
      </c>
      <c r="J27" s="151" t="s">
        <v>88</v>
      </c>
      <c r="K27" s="152"/>
      <c r="L27" s="152"/>
      <c r="M27" s="152"/>
      <c r="N27" s="152"/>
      <c r="O27" s="152"/>
      <c r="P27" s="153"/>
      <c r="Q27" s="62"/>
      <c r="R27" s="62"/>
      <c r="S27" s="57" t="e">
        <f>IF(O28&gt;=10,1,0)</f>
        <v>#DIV/0!</v>
      </c>
      <c r="W27" s="58"/>
    </row>
    <row r="28" spans="1:55" ht="15.95" customHeight="1">
      <c r="B28" s="164" t="s">
        <v>64</v>
      </c>
      <c r="C28" s="164"/>
      <c r="D28" s="164"/>
      <c r="E28" s="56">
        <v>125</v>
      </c>
      <c r="F28" s="56" t="s">
        <v>51</v>
      </c>
      <c r="J28" s="29" t="s">
        <v>91</v>
      </c>
      <c r="K28" s="27">
        <f>K22</f>
        <v>0</v>
      </c>
      <c r="L28" s="25" t="s">
        <v>54</v>
      </c>
      <c r="M28" s="26">
        <f>M25</f>
        <v>0</v>
      </c>
      <c r="N28" s="25" t="s">
        <v>53</v>
      </c>
      <c r="O28" s="28" t="e">
        <f>ROUND(AN46-(K11/AL8)*(AL8-1),0)</f>
        <v>#DIV/0!</v>
      </c>
      <c r="P28" s="25" t="s">
        <v>51</v>
      </c>
      <c r="Q28" s="62"/>
      <c r="R28" s="62"/>
      <c r="S28" s="57">
        <f>IF(O29&gt;10,4,0)</f>
        <v>0</v>
      </c>
    </row>
    <row r="29" spans="1:55" ht="15.95" customHeight="1">
      <c r="B29" s="164" t="s">
        <v>18</v>
      </c>
      <c r="C29" s="164"/>
      <c r="D29" s="164"/>
      <c r="E29" s="56">
        <v>10</v>
      </c>
      <c r="F29" s="56" t="s">
        <v>51</v>
      </c>
      <c r="J29" s="29" t="s">
        <v>97</v>
      </c>
      <c r="K29" s="27">
        <f>K23</f>
        <v>0</v>
      </c>
      <c r="L29" s="25" t="s">
        <v>54</v>
      </c>
      <c r="M29" s="26">
        <f>M26</f>
        <v>0</v>
      </c>
      <c r="N29" s="25" t="s">
        <v>53</v>
      </c>
      <c r="O29" s="28">
        <f>IF(M29=0,0,ROUND(O28+K11/AL8,0))</f>
        <v>0</v>
      </c>
      <c r="P29" s="25" t="s">
        <v>51</v>
      </c>
      <c r="Q29" s="76"/>
      <c r="R29" s="76"/>
      <c r="S29" s="57" t="e">
        <f>SUM(S19:S28)</f>
        <v>#DIV/0!</v>
      </c>
    </row>
    <row r="30" spans="1:55" ht="15.95" customHeight="1">
      <c r="B30" s="164" t="s">
        <v>12</v>
      </c>
      <c r="C30" s="164"/>
      <c r="D30" s="164"/>
      <c r="E30" s="56">
        <v>0</v>
      </c>
      <c r="F30" s="56" t="s">
        <v>53</v>
      </c>
      <c r="Q30" s="62"/>
      <c r="R30" s="62"/>
      <c r="S30" s="62"/>
    </row>
    <row r="31" spans="1:55" ht="15.95" customHeight="1">
      <c r="Q31" s="62"/>
      <c r="R31" s="62"/>
      <c r="S31" s="62"/>
    </row>
    <row r="32" spans="1:55" ht="15.95" customHeight="1">
      <c r="B32" s="175" t="e">
        <f>IF(W16=4,"Error: Please contact manufactor on given specifications. Outlet Pressure may not be achieved with given flow.",0)</f>
        <v>#DIV/0!</v>
      </c>
      <c r="C32" s="175"/>
      <c r="D32" s="175"/>
      <c r="E32" s="175"/>
      <c r="F32" s="175"/>
      <c r="Q32" s="62"/>
      <c r="R32" s="62"/>
      <c r="S32" s="62"/>
    </row>
    <row r="33" spans="2:55" ht="15.95" customHeight="1">
      <c r="B33" s="175"/>
      <c r="C33" s="175"/>
      <c r="D33" s="175"/>
      <c r="E33" s="175"/>
      <c r="F33" s="175"/>
    </row>
    <row r="34" spans="2:55" ht="15.95" customHeight="1">
      <c r="B34" s="175"/>
      <c r="C34" s="175"/>
      <c r="D34" s="175"/>
      <c r="E34" s="175"/>
      <c r="F34" s="175"/>
      <c r="BB34" s="30">
        <f>IF(T8=0,0,BB35)</f>
        <v>0</v>
      </c>
    </row>
    <row r="35" spans="2:55" ht="15.95" customHeight="1">
      <c r="B35" s="175"/>
      <c r="C35" s="175"/>
      <c r="D35" s="175"/>
      <c r="E35" s="175"/>
      <c r="F35" s="175"/>
      <c r="AD35" s="30" t="s">
        <v>13</v>
      </c>
      <c r="AE35" s="30">
        <v>80</v>
      </c>
      <c r="BB35" s="30">
        <f>BC37</f>
        <v>0</v>
      </c>
    </row>
    <row r="36" spans="2:55" ht="15.95" customHeight="1">
      <c r="B36" s="175"/>
      <c r="C36" s="175"/>
      <c r="D36" s="175"/>
      <c r="E36" s="175"/>
      <c r="F36" s="175"/>
      <c r="AD36" s="30" t="s">
        <v>2</v>
      </c>
      <c r="AE36" s="30">
        <v>140</v>
      </c>
      <c r="AL36" s="30" t="s">
        <v>0</v>
      </c>
      <c r="BB36" s="30" t="s">
        <v>8</v>
      </c>
    </row>
    <row r="37" spans="2:55" ht="15.95" customHeight="1">
      <c r="AD37" s="30" t="s">
        <v>3</v>
      </c>
      <c r="AE37" s="30">
        <v>75</v>
      </c>
      <c r="AW37" s="30">
        <v>0</v>
      </c>
      <c r="AX37" s="20">
        <v>0</v>
      </c>
      <c r="BB37" s="20">
        <v>0</v>
      </c>
      <c r="BC37" s="30">
        <f>IF(K11&lt;=BB37,AW37,BC38)</f>
        <v>0</v>
      </c>
    </row>
    <row r="38" spans="2:55" ht="15.95" customHeight="1">
      <c r="AD38" s="30" t="s">
        <v>16</v>
      </c>
      <c r="AE38" s="30">
        <v>15</v>
      </c>
      <c r="AL38" s="30" t="s">
        <v>56</v>
      </c>
      <c r="AN38" s="30">
        <f>K13</f>
        <v>0</v>
      </c>
      <c r="AV38" s="81"/>
      <c r="AW38" s="30">
        <v>5</v>
      </c>
      <c r="AX38" s="1">
        <v>3</v>
      </c>
      <c r="BB38" s="1">
        <v>3</v>
      </c>
      <c r="BC38" s="30">
        <f>IF(K11&lt;=BB38,AW38,BC39)</f>
        <v>5</v>
      </c>
    </row>
    <row r="39" spans="2:55">
      <c r="U39" s="30">
        <f>IF(T7=0,0,IF(W16=4,99,S29))</f>
        <v>0</v>
      </c>
      <c r="AD39" s="30" t="s">
        <v>17</v>
      </c>
      <c r="AE39" s="30">
        <v>25</v>
      </c>
      <c r="AL39" s="30" t="s">
        <v>15</v>
      </c>
      <c r="AN39" s="30">
        <f>K15</f>
        <v>0</v>
      </c>
      <c r="AV39" s="81"/>
      <c r="AW39" s="30">
        <v>10</v>
      </c>
      <c r="AX39" s="2">
        <v>6.5</v>
      </c>
      <c r="BB39" s="2">
        <v>6.5</v>
      </c>
      <c r="BC39" s="30">
        <f>IF(K11&lt;=BB39,AW39,BC40)</f>
        <v>10</v>
      </c>
    </row>
    <row r="40" spans="2:55">
      <c r="AD40" s="30" t="s">
        <v>12</v>
      </c>
      <c r="AE40" s="30">
        <v>0</v>
      </c>
      <c r="AL40" s="30" t="s">
        <v>1</v>
      </c>
      <c r="AN40" s="30" t="str">
        <f>IF( AN38=AO37," ",IF(AN39=AO37," ",AP40))</f>
        <v xml:space="preserve"> </v>
      </c>
      <c r="AP40" s="30" t="e">
        <f>ROUND(AN38/AN39,2)</f>
        <v>#DIV/0!</v>
      </c>
      <c r="AV40" s="81"/>
      <c r="AW40" s="30">
        <v>15</v>
      </c>
      <c r="AX40" s="3">
        <v>9</v>
      </c>
      <c r="BB40" s="3">
        <v>9</v>
      </c>
      <c r="BC40" s="30">
        <f>IF(K11&lt;=BB40,AW40,BC41)</f>
        <v>15</v>
      </c>
    </row>
    <row r="41" spans="2:55">
      <c r="U41" s="30" t="str">
        <f>IF(U39=99,"ERROR",IF(U39=33,"Figure9",IF(U39=22,"Figure8",IF(U39=15,"Figure7",IF(U39=11,"Figure6",IF(U39=10,"Figure5",IF(U39=5,"Figure4",IF(U39=3,"Figure3",IF(U39=2,"Figure2",IF(U39=1,"Figure1","Figure0"))))))))))</f>
        <v>Figure0</v>
      </c>
      <c r="AL41" s="30" t="e">
        <f>(AP40^(1/4))</f>
        <v>#DIV/0!</v>
      </c>
      <c r="AV41" s="81"/>
      <c r="AW41" s="30">
        <v>20</v>
      </c>
      <c r="AX41" s="3">
        <v>12</v>
      </c>
      <c r="BB41" s="3">
        <v>12</v>
      </c>
      <c r="BC41" s="30">
        <f>IF(K11&lt;=BB41,AW41,BC42)</f>
        <v>20</v>
      </c>
    </row>
    <row r="42" spans="2:55">
      <c r="AL42" s="30" t="str">
        <f>IF(AN38=AV37," ",IF(AN39=AR37," ",AP43))</f>
        <v xml:space="preserve"> </v>
      </c>
      <c r="AP42" s="30" t="e">
        <f>IF(AP40&lt;=4,ROUND(AL41,0),ROUNDUP(AL41,0))</f>
        <v>#DIV/0!</v>
      </c>
      <c r="AQ42" s="30" t="e">
        <f>AL41</f>
        <v>#DIV/0!</v>
      </c>
      <c r="AV42" s="81"/>
      <c r="AW42" s="30">
        <v>25</v>
      </c>
      <c r="AX42" s="4">
        <v>15</v>
      </c>
      <c r="BB42" s="4">
        <v>15</v>
      </c>
      <c r="BC42" s="30">
        <f>IF(K11&lt;=BB42,AW42,BC43)</f>
        <v>25</v>
      </c>
    </row>
    <row r="43" spans="2:55">
      <c r="AL43" s="30" t="s">
        <v>36</v>
      </c>
      <c r="AN43" s="30">
        <f>IF( AN38=AO37,0,IF(AN39=AR37," ",AP42))</f>
        <v>0</v>
      </c>
      <c r="AP43" s="30" t="e">
        <f>IF(AP40&gt;4,"Step Reduction is Needed","No Step Reduction is Needed")</f>
        <v>#DIV/0!</v>
      </c>
      <c r="AV43" s="81"/>
      <c r="AW43" s="30">
        <v>30</v>
      </c>
      <c r="AX43" s="5">
        <v>19</v>
      </c>
      <c r="BB43" s="5">
        <v>19</v>
      </c>
      <c r="BC43" s="30">
        <f>IF(K11&lt;=BB43,AW43,AY44)</f>
        <v>30</v>
      </c>
    </row>
    <row r="44" spans="2:55">
      <c r="AL44" s="30">
        <f>IF(AN39=0,0,IF(AN43&gt;=1,"First Step",0))</f>
        <v>0</v>
      </c>
      <c r="AM44" s="30">
        <f>IF(AN38=AV37,0,IF(AN39=0,0,IF(AN44=0," ",IF(AN44&lt;25,"Low Range",IF(AN44&gt;80,"High Range",AQ44)))))</f>
        <v>0</v>
      </c>
      <c r="AN44" s="30">
        <f>IF(AN38=AV37,0,IF(AN39=0,0,IF(AN39=AR37," ",AR44)))</f>
        <v>0</v>
      </c>
      <c r="AO44" s="30">
        <f>IF(AN44=0,0,"(PSI)")</f>
        <v>0</v>
      </c>
      <c r="AQ44" s="30" t="e">
        <f>IF(AS44&gt;=AN39,"Step Required","Step Required")</f>
        <v>#DIV/0!</v>
      </c>
      <c r="AR44" s="30" t="e">
        <f>IF(AQ44="Step Required",AS44,AN39)</f>
        <v>#DIV/0!</v>
      </c>
      <c r="AS44" s="30" t="e">
        <f>ROUNDUP(AT44,0.5)</f>
        <v>#DIV/0!</v>
      </c>
      <c r="AT44" s="30" t="e">
        <f>IF(AU44&gt;125,125,AU44)</f>
        <v>#DIV/0!</v>
      </c>
      <c r="AU44" s="30" t="e">
        <f>IF(AP43="Step Reduction is Needed",AN38/((AP40)^(1/AP42)),AN39)</f>
        <v>#DIV/0!</v>
      </c>
      <c r="AV44" s="81"/>
      <c r="AW44" s="30">
        <v>35</v>
      </c>
      <c r="AX44" s="5">
        <v>25</v>
      </c>
      <c r="BB44" s="5">
        <v>25</v>
      </c>
      <c r="BC44" s="30">
        <f>IF(K12&lt;=BB44,AW44,AY45)</f>
        <v>35</v>
      </c>
    </row>
    <row r="45" spans="2:55">
      <c r="AL45" s="30">
        <f>IF(AN39=0,0,IF(AN43&gt;=2,"Second Step",0))</f>
        <v>0</v>
      </c>
      <c r="AM45" s="30">
        <f>IF(AN38=0,0,IF(AN40=" ",0,IF(AN45=0,0,IF(AN45&lt;25,"Low Range",IF(AN45&gt;80,"High Range",AQ45)))))</f>
        <v>0</v>
      </c>
      <c r="AN45" s="30">
        <f>IF( AN38=AV37,0,IF(AN39=0,0,IF(AN39=AR37," ",AR45)))</f>
        <v>0</v>
      </c>
      <c r="AO45" s="30">
        <f t="shared" ref="AO45:AO46" si="0">IF(AN45=0,0,"(PSI)")</f>
        <v>0</v>
      </c>
      <c r="AQ45" s="30" t="e">
        <f>IF(AS45&gt;=AN39,"Step Required","Step Not Required")</f>
        <v>#DIV/0!</v>
      </c>
      <c r="AR45" s="30" t="e">
        <f>IF(AQ45="Step Required",AS45,0)</f>
        <v>#DIV/0!</v>
      </c>
      <c r="AS45" s="30" t="e">
        <f>ROUNDUP(AU45,0)</f>
        <v>#DIV/0!</v>
      </c>
      <c r="AU45" s="30" t="e">
        <f>AU44/((AP40)^(1/AP42))</f>
        <v>#DIV/0!</v>
      </c>
      <c r="AV45" s="81"/>
    </row>
    <row r="46" spans="2:55">
      <c r="R46" s="31"/>
      <c r="AL46" s="30">
        <f>IF( AN39=0,0,IF(AN43&gt;=3,"Third Step",0))</f>
        <v>0</v>
      </c>
      <c r="AM46" s="30">
        <f>IF(AN38=0,0,IF(AN40=" ",0,IF(AN46=0,0,IF(AN46&lt;25,"Low Range",IF(AN46&gt;80,"High Range",AQ46)))))</f>
        <v>0</v>
      </c>
      <c r="AN46" s="30">
        <f>IF(AN38=AR37,0,IF(AN39=0,0,IF(AN39=AR37," ",AR46)))</f>
        <v>0</v>
      </c>
      <c r="AO46" s="30">
        <f t="shared" si="0"/>
        <v>0</v>
      </c>
      <c r="AQ46" s="30" t="e">
        <f>IF(AS46&gt;=AN39,"Step Required","Step Not Required")</f>
        <v>#DIV/0!</v>
      </c>
      <c r="AR46" s="30" t="e">
        <f>IF(AQ46="Step Required",AS46,0)</f>
        <v>#DIV/0!</v>
      </c>
      <c r="AS46" s="30" t="e">
        <f>ROUNDUP(AU46,0)</f>
        <v>#DIV/0!</v>
      </c>
      <c r="AU46" s="30" t="e">
        <f>AU45/((AP40)^(1/AP42))</f>
        <v>#DIV/0!</v>
      </c>
    </row>
    <row r="47" spans="2:55">
      <c r="R47" s="31"/>
    </row>
    <row r="48" spans="2:55">
      <c r="R48" s="31"/>
    </row>
    <row r="49" spans="18:18">
      <c r="R49" s="31"/>
    </row>
    <row r="50" spans="18:18">
      <c r="R50" s="31"/>
    </row>
    <row r="51" spans="18:18">
      <c r="R51" s="31"/>
    </row>
    <row r="52" spans="18:18">
      <c r="R52" s="31"/>
    </row>
    <row r="53" spans="18:18">
      <c r="R53" s="31"/>
    </row>
    <row r="54" spans="18:18">
      <c r="R54" s="31"/>
    </row>
    <row r="55" spans="18:18">
      <c r="R55" s="31"/>
    </row>
    <row r="56" spans="18:18">
      <c r="R56" s="31"/>
    </row>
    <row r="57" spans="18:18">
      <c r="R57" s="31"/>
    </row>
    <row r="58" spans="18:18">
      <c r="R58" s="31"/>
    </row>
    <row r="59" spans="18:18">
      <c r="R59" s="31"/>
    </row>
    <row r="60" spans="18:18">
      <c r="R60" s="31"/>
    </row>
  </sheetData>
  <sheetProtection sheet="1" objects="1" scenarios="1"/>
  <mergeCells count="35">
    <mergeCell ref="E1:L4"/>
    <mergeCell ref="Z3:AE3"/>
    <mergeCell ref="A7:H9"/>
    <mergeCell ref="J7:J8"/>
    <mergeCell ref="K7:K8"/>
    <mergeCell ref="J9:J10"/>
    <mergeCell ref="K9:K10"/>
    <mergeCell ref="A10:H12"/>
    <mergeCell ref="J11:J12"/>
    <mergeCell ref="K11:K12"/>
    <mergeCell ref="A13:H15"/>
    <mergeCell ref="J13:J14"/>
    <mergeCell ref="K13:K14"/>
    <mergeCell ref="J15:J16"/>
    <mergeCell ref="K15:K16"/>
    <mergeCell ref="A16:H16"/>
    <mergeCell ref="A17:H18"/>
    <mergeCell ref="J17:J18"/>
    <mergeCell ref="K17:L18"/>
    <mergeCell ref="A19:H20"/>
    <mergeCell ref="J19:J20"/>
    <mergeCell ref="K19:L20"/>
    <mergeCell ref="M19:N20"/>
    <mergeCell ref="O19:P20"/>
    <mergeCell ref="A21:H22"/>
    <mergeCell ref="J21:P21"/>
    <mergeCell ref="A23:H24"/>
    <mergeCell ref="J24:P24"/>
    <mergeCell ref="B30:D30"/>
    <mergeCell ref="B32:F36"/>
    <mergeCell ref="B26:D26"/>
    <mergeCell ref="J27:P27"/>
    <mergeCell ref="B27:D27"/>
    <mergeCell ref="B28:D28"/>
    <mergeCell ref="B29:D29"/>
  </mergeCells>
  <conditionalFormatting sqref="Z5:AE25">
    <cfRule type="colorScale" priority="2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N38:AN39">
    <cfRule type="containsBlanks" dxfId="21" priority="25">
      <formula>LEN(TRIM(AN38))=0</formula>
    </cfRule>
  </conditionalFormatting>
  <conditionalFormatting sqref="AM44:AM47">
    <cfRule type="containsText" dxfId="20" priority="24" operator="containsText" text="Range">
      <formula>NOT(ISERROR(SEARCH("Range",AM44)))</formula>
    </cfRule>
  </conditionalFormatting>
  <conditionalFormatting sqref="AN43:AO43">
    <cfRule type="cellIs" dxfId="19" priority="23" operator="equal">
      <formula>0</formula>
    </cfRule>
  </conditionalFormatting>
  <conditionalFormatting sqref="BB37:BB43">
    <cfRule type="colorScale" priority="2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X37:AX43">
    <cfRule type="colorScale" priority="2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K7:K16">
    <cfRule type="containsBlanks" dxfId="18" priority="20">
      <formula>LEN(TRIM(K7))=0</formula>
    </cfRule>
  </conditionalFormatting>
  <conditionalFormatting sqref="B32">
    <cfRule type="expression" dxfId="17" priority="17">
      <formula>$K$15=0</formula>
    </cfRule>
    <cfRule type="expression" dxfId="16" priority="18">
      <formula>$K$7=0</formula>
    </cfRule>
    <cfRule type="cellIs" dxfId="15" priority="19" operator="equal">
      <formula>0</formula>
    </cfRule>
  </conditionalFormatting>
  <conditionalFormatting sqref="J19:P29">
    <cfRule type="expression" dxfId="14" priority="13">
      <formula>$K$15=$L$15</formula>
    </cfRule>
    <cfRule type="expression" dxfId="13" priority="14">
      <formula>$K$13=$L$13</formula>
    </cfRule>
    <cfRule type="expression" dxfId="12" priority="15">
      <formula>$K$11=$L$11</formula>
    </cfRule>
    <cfRule type="expression" dxfId="11" priority="16">
      <formula>$K$7=$L$7</formula>
    </cfRule>
  </conditionalFormatting>
  <conditionalFormatting sqref="J24:P29">
    <cfRule type="expression" dxfId="10" priority="12">
      <formula>$W$12&lt;=1</formula>
    </cfRule>
  </conditionalFormatting>
  <conditionalFormatting sqref="J27:P29">
    <cfRule type="expression" dxfId="9" priority="11">
      <formula>$W$12&lt;=2</formula>
    </cfRule>
  </conditionalFormatting>
  <conditionalFormatting sqref="J23:P23">
    <cfRule type="expression" dxfId="8" priority="10">
      <formula>$O$23=0</formula>
    </cfRule>
  </conditionalFormatting>
  <conditionalFormatting sqref="J26:P26">
    <cfRule type="expression" dxfId="7" priority="9">
      <formula>$O$26=0</formula>
    </cfRule>
  </conditionalFormatting>
  <conditionalFormatting sqref="J29:P29">
    <cfRule type="expression" dxfId="6" priority="8">
      <formula>$O$29=0</formula>
    </cfRule>
  </conditionalFormatting>
  <conditionalFormatting sqref="J17:L18">
    <cfRule type="expression" dxfId="5" priority="4">
      <formula>$K$7=$L$9</formula>
    </cfRule>
    <cfRule type="expression" dxfId="4" priority="5">
      <formula>$K$15=0</formula>
    </cfRule>
    <cfRule type="expression" dxfId="3" priority="6">
      <formula>$K$13=0</formula>
    </cfRule>
    <cfRule type="expression" dxfId="2" priority="7">
      <formula>$K$11:$K$16=$L$10</formula>
    </cfRule>
  </conditionalFormatting>
  <conditionalFormatting sqref="AX37:AX44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B37:BB44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K7:K16">
    <cfRule type="containsBlanks" dxfId="1" priority="1">
      <formula>LEN(TRIM(K7))=0</formula>
    </cfRule>
  </conditionalFormatting>
  <dataValidations xWindow="669" yWindow="494" count="8">
    <dataValidation type="whole" operator="lessThan" allowBlank="1" showInputMessage="1" showErrorMessage="1" promptTitle="Minimum Flow" prompt="Leave value blank if unknown." sqref="K9:K10">
      <formula1>K7</formula1>
    </dataValidation>
    <dataValidation type="custom" allowBlank="1" showInputMessage="1" showErrorMessage="1" errorTitle="Error" sqref="B32">
      <formula1>O31&lt;10</formula1>
    </dataValidation>
    <dataValidation type="whole" allowBlank="1" showInputMessage="1" showErrorMessage="1" error="Value must be between 125(High range)-10(Low range)" promptTitle="Outlet Pressure" prompt="Value must be between 125-10 PSI." sqref="K15:K16">
      <formula1>10</formula1>
      <formula2>125</formula2>
    </dataValidation>
    <dataValidation type="whole" allowBlank="1" showInputMessage="1" showErrorMessage="1" promptTitle="Inlet Pressure" prompt="Value must be less than or equal to 300 PSI." sqref="K13:K14">
      <formula1>0</formula1>
      <formula2>400</formula2>
    </dataValidation>
    <dataValidation type="whole" allowBlank="1" showInputMessage="1" showErrorMessage="1" sqref="K11:K12">
      <formula1>5</formula1>
      <formula2>20</formula2>
    </dataValidation>
    <dataValidation type="whole" allowBlank="1" showInputMessage="1" showErrorMessage="1" error="Value must be between 300-0" promptTitle="Max Flow" prompt="Value must be between 100-0 GPM." sqref="K7:K8">
      <formula1>0</formula1>
      <formula2>100</formula2>
    </dataValidation>
    <dataValidation type="decimal" allowBlank="1" showInputMessage="1" showErrorMessage="1" error="Value Must Be Between 125-10_x000a_" sqref="AN39:AO39">
      <formula1>10</formula1>
      <formula2>125</formula2>
    </dataValidation>
    <dataValidation type="whole" allowBlank="1" showInputMessage="1" showErrorMessage="1" error="Value Must Be Between 300-1" promptTitle="PRV Pressure" prompt="When entering in values, please note:_x000a__x000a_Max working pressure for valves are 300 PSI with the exception of the NR3XL (1/2&quot;-1-1/4&quot;) with a working pressure of 400PSI" sqref="AN38:AO38">
      <formula1>0</formula1>
      <formula2>400</formula2>
    </dataValidation>
  </dataValidations>
  <hyperlinks>
    <hyperlink ref="W19" location="'2'!A1" display="Figure. 1"/>
    <hyperlink ref="A10:H12" location="NR3XL!K7" display="1) Enter the value for the max flow through the system. Then, enter the value for the minimum flow. (If the minimum flow is unknown, leave blank or enter &quot;0&quot;"/>
    <hyperlink ref="A13:H15" location="NR3XL!K11" display="2) Enter the value for the allowable falloff. Falloff is defined as the pressure drop within a system due to a given flow: i.e. the greater the flow the greater the falloff. "/>
    <hyperlink ref="A17:H18" location="NR3XL!K15" display="3) Enter the value for the system's inlet pressure and the desired outlet pressure. "/>
    <hyperlink ref="A21:H22" location="NR3XL!K17" display="5)Please refer to the cell &quot;Figure. Number&quot; in order to see a visual representation of the system."/>
    <hyperlink ref="E1:L4" r:id="rId1" display="Model 600XL"/>
  </hyperlinks>
  <pageMargins left="0.7" right="0.7" top="0.75" bottom="0.75" header="0.3" footer="0.3"/>
  <pageSetup scale="59" orientation="portrait" horizontalDpi="90" verticalDpi="90" r:id="rId2"/>
  <drawing r:id="rId3"/>
  <legacyDrawing r:id="rId4"/>
  <oleObjects>
    <oleObject progId="PBrush" shapeId="5121" r:id="rId5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S43"/>
  <sheetViews>
    <sheetView topLeftCell="A4" zoomScale="68" zoomScaleNormal="68" workbookViewId="0">
      <selection activeCell="S7" sqref="S7"/>
    </sheetView>
  </sheetViews>
  <sheetFormatPr defaultRowHeight="15"/>
  <cols>
    <col min="1" max="1" width="40.7109375" customWidth="1"/>
    <col min="5" max="5" width="9.7109375" bestFit="1" customWidth="1"/>
    <col min="6" max="6" width="6.7109375" bestFit="1" customWidth="1"/>
    <col min="7" max="7" width="5" bestFit="1" customWidth="1"/>
    <col min="8" max="8" width="4" bestFit="1" customWidth="1"/>
    <col min="9" max="10" width="6.42578125" bestFit="1" customWidth="1"/>
    <col min="11" max="11" width="4.5703125" customWidth="1"/>
    <col min="12" max="12" width="9.7109375" bestFit="1" customWidth="1"/>
    <col min="19" max="19" width="40.7109375" customWidth="1"/>
  </cols>
  <sheetData>
    <row r="1" spans="1:19" ht="200.1" customHeight="1">
      <c r="A1" s="23"/>
    </row>
    <row r="2" spans="1:19" ht="200.1" customHeight="1">
      <c r="A2" s="23" t="s">
        <v>100</v>
      </c>
    </row>
    <row r="3" spans="1:19" ht="200.1" customHeight="1">
      <c r="A3" s="23" t="s">
        <v>101</v>
      </c>
    </row>
    <row r="4" spans="1:19" ht="200.1" customHeight="1">
      <c r="A4" s="23" t="s">
        <v>102</v>
      </c>
    </row>
    <row r="5" spans="1:19" ht="200.1" customHeight="1">
      <c r="A5" s="23" t="s">
        <v>103</v>
      </c>
    </row>
    <row r="6" spans="1:19" ht="200.1" customHeight="1">
      <c r="A6" s="23" t="s">
        <v>104</v>
      </c>
    </row>
    <row r="7" spans="1:19" ht="200.1" customHeight="1">
      <c r="A7" s="23" t="s">
        <v>105</v>
      </c>
    </row>
    <row r="8" spans="1:19" ht="200.1" customHeight="1">
      <c r="A8" s="23" t="s">
        <v>106</v>
      </c>
    </row>
    <row r="9" spans="1:19" ht="200.1" customHeight="1">
      <c r="A9" s="23" t="s">
        <v>107</v>
      </c>
    </row>
    <row r="10" spans="1:19" ht="200.1" customHeight="1">
      <c r="A10" s="23" t="s">
        <v>108</v>
      </c>
    </row>
    <row r="11" spans="1:19" ht="200.1" customHeight="1">
      <c r="A11" s="82" t="s">
        <v>90</v>
      </c>
      <c r="S11" s="23"/>
    </row>
    <row r="12" spans="1:19">
      <c r="S12" s="23"/>
    </row>
    <row r="13" spans="1:19">
      <c r="S13" s="23"/>
    </row>
    <row r="14" spans="1:19">
      <c r="S14" s="23"/>
    </row>
    <row r="15" spans="1:19">
      <c r="S15" s="23"/>
    </row>
    <row r="16" spans="1:19">
      <c r="S16" s="23"/>
    </row>
    <row r="17" spans="19:19">
      <c r="S17" s="23"/>
    </row>
    <row r="18" spans="19:19">
      <c r="S18" s="23"/>
    </row>
    <row r="19" spans="19:19">
      <c r="S19" s="23"/>
    </row>
    <row r="20" spans="19:19">
      <c r="S20" s="23"/>
    </row>
    <row r="21" spans="19:19">
      <c r="S21" s="82"/>
    </row>
    <row r="22" spans="19:19">
      <c r="S22" s="23"/>
    </row>
    <row r="23" spans="19:19">
      <c r="S23" s="23"/>
    </row>
    <row r="24" spans="19:19">
      <c r="S24" s="23"/>
    </row>
    <row r="25" spans="19:19">
      <c r="S25" s="23"/>
    </row>
    <row r="26" spans="19:19">
      <c r="S26" s="23"/>
    </row>
    <row r="27" spans="19:19">
      <c r="S27" s="23"/>
    </row>
    <row r="28" spans="19:19">
      <c r="S28" s="23"/>
    </row>
    <row r="29" spans="19:19">
      <c r="S29" s="23"/>
    </row>
    <row r="30" spans="19:19">
      <c r="S30" s="23"/>
    </row>
    <row r="31" spans="19:19">
      <c r="S31" s="23"/>
    </row>
    <row r="32" spans="19:19">
      <c r="S32" s="82"/>
    </row>
    <row r="33" spans="19:19">
      <c r="S33" s="23"/>
    </row>
    <row r="34" spans="19:19">
      <c r="S34" s="23"/>
    </row>
    <row r="35" spans="19:19">
      <c r="S35" s="23"/>
    </row>
    <row r="36" spans="19:19">
      <c r="S36" s="23"/>
    </row>
    <row r="37" spans="19:19">
      <c r="S37" s="23"/>
    </row>
    <row r="38" spans="19:19">
      <c r="S38" s="23"/>
    </row>
    <row r="39" spans="19:19">
      <c r="S39" s="23"/>
    </row>
    <row r="40" spans="19:19">
      <c r="S40" s="23"/>
    </row>
    <row r="41" spans="19:19">
      <c r="S41" s="23"/>
    </row>
    <row r="42" spans="19:19">
      <c r="S42" s="23"/>
    </row>
    <row r="43" spans="19:19">
      <c r="S43" s="8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30</vt:i4>
      </vt:variant>
    </vt:vector>
  </HeadingPairs>
  <TitlesOfParts>
    <vt:vector size="35" baseType="lpstr">
      <vt:lpstr>Pressure Reduction</vt:lpstr>
      <vt:lpstr>500XL</vt:lpstr>
      <vt:lpstr>NR3XL</vt:lpstr>
      <vt:lpstr>600XL</vt:lpstr>
      <vt:lpstr>5</vt:lpstr>
      <vt:lpstr>Apple</vt:lpstr>
      <vt:lpstr>ERROR</vt:lpstr>
      <vt:lpstr>Figure0</vt:lpstr>
      <vt:lpstr>Figure1</vt:lpstr>
      <vt:lpstr>Figure2</vt:lpstr>
      <vt:lpstr>Figure3</vt:lpstr>
      <vt:lpstr>Figure4</vt:lpstr>
      <vt:lpstr>Figure5</vt:lpstr>
      <vt:lpstr>Figure6</vt:lpstr>
      <vt:lpstr>Figure7</vt:lpstr>
      <vt:lpstr>Figure8</vt:lpstr>
      <vt:lpstr>Figure9</vt:lpstr>
      <vt:lpstr>Figures</vt:lpstr>
      <vt:lpstr>'600XL'!NRFIGURE0</vt:lpstr>
      <vt:lpstr>NRFIGURE0</vt:lpstr>
      <vt:lpstr>'600XL'!NRFIGURE1</vt:lpstr>
      <vt:lpstr>NRFIGURE1</vt:lpstr>
      <vt:lpstr>'600XL'!NRFIGURE2</vt:lpstr>
      <vt:lpstr>NRFIGURE2</vt:lpstr>
      <vt:lpstr>'600XL'!NRFIGURE3</vt:lpstr>
      <vt:lpstr>NRFIGURE3</vt:lpstr>
      <vt:lpstr>'600XL'!NRFIGURE4</vt:lpstr>
      <vt:lpstr>NRFIGURE4</vt:lpstr>
      <vt:lpstr>Orange</vt:lpstr>
      <vt:lpstr>Picture</vt:lpstr>
      <vt:lpstr>pipe_size</vt:lpstr>
      <vt:lpstr>Pipe_Size_2</vt:lpstr>
      <vt:lpstr>'500XL'!Print_Area</vt:lpstr>
      <vt:lpstr>'600XL'!Print_Area</vt:lpstr>
      <vt:lpstr>NR3XL!Print_Area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dalvarez</dc:creator>
  <cp:lastModifiedBy>dalvarez</cp:lastModifiedBy>
  <dcterms:created xsi:type="dcterms:W3CDTF">2015-12-15T16:01:40Z</dcterms:created>
  <dcterms:modified xsi:type="dcterms:W3CDTF">2018-02-20T22:04:54Z</dcterms:modified>
</cp:coreProperties>
</file>